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samw/Desktop/GDP STUFF/GDP Stuff2/"/>
    </mc:Choice>
  </mc:AlternateContent>
  <xr:revisionPtr revIDLastSave="0" documentId="8_{8E462FB2-A7C0-0C42-9AE3-ECB8BEFFAD92}" xr6:coauthVersionLast="47" xr6:coauthVersionMax="47" xr10:uidLastSave="{00000000-0000-0000-0000-000000000000}"/>
  <bookViews>
    <workbookView xWindow="5940" yWindow="580" windowWidth="29920" windowHeight="20240" xr2:uid="{00000000-000D-0000-FFFF-FFFF00000000}"/>
  </bookViews>
  <sheets>
    <sheet name="Export Summary" sheetId="1" r:id="rId1"/>
    <sheet name="Guide to Source (S) sheets" sheetId="2" r:id="rId2"/>
    <sheet name="S1 - BEA estimates 1929-2022" sheetId="3" r:id="rId3"/>
    <sheet name="S2 - David-Solar raw data" sheetId="4" r:id="rId4"/>
    <sheet name="S3 - Davis 2004 IIP" sheetId="5" r:id="rId5"/>
    <sheet name="S4 - Mancall and Weiss raw data" sheetId="6" r:id="rId6"/>
    <sheet name="S5 - McCusker Table 2" sheetId="7" r:id="rId7"/>
    <sheet name="S6-Trescott 1960" sheetId="8" r:id="rId8"/>
    <sheet name="S7-Trescott 1966" sheetId="9" r:id="rId9"/>
    <sheet name="S8-NFI 1820-1860" sheetId="10" r:id="rId10"/>
    <sheet name="S9 -  NFI 1869-1899" sheetId="11" r:id="rId11"/>
    <sheet name="S10 - NFI 1900-1909" sheetId="12" r:id="rId12"/>
    <sheet name="S11a -Population 1790 to 1900" sheetId="13" r:id="rId13"/>
    <sheet name="S11b Population 1900 to 2022" sheetId="14" r:id="rId14"/>
    <sheet name="S12 - Weiss 1993 Table A2" sheetId="15" r:id="rId15"/>
    <sheet name="S13 -Weiss 1993 Table A3" sheetId="16" r:id="rId16"/>
    <sheet name="S14-Gallman (1966) Table A-1" sheetId="17" r:id="rId17"/>
    <sheet name="S15-Gallman (2000) Table 1.3" sheetId="18" r:id="rId18"/>
    <sheet name="S16-Gallman (1966) Table A-2" sheetId="19" r:id="rId19"/>
    <sheet name="S17-Weiss 1975 Table 53" sheetId="20" r:id="rId20"/>
    <sheet name="S18-Gallman-Weiss Tables" sheetId="21" r:id="rId21"/>
    <sheet name="S19-Rhode Table 1 &amp; 2" sheetId="22" r:id="rId22"/>
    <sheet name="S20-Rhode Table 3" sheetId="23" r:id="rId23"/>
    <sheet name="S21-Olney durables" sheetId="24" r:id="rId24"/>
    <sheet name="S22-Gallman agriculture" sheetId="25" r:id="rId25"/>
    <sheet name="S-23 Kendrick GNP-GDP" sheetId="26" r:id="rId26"/>
    <sheet name="S24-Kendrick government" sheetId="27" r:id="rId27"/>
    <sheet name="S25-Weiss 1975 table 72" sheetId="28" r:id="rId28"/>
    <sheet name="Guide to computation (E) sheets" sheetId="29" r:id="rId29"/>
    <sheet name="E1-Weiss replication" sheetId="30" r:id="rId30"/>
    <sheet name="E2-Benchmarks, 1793-1829" sheetId="31" r:id="rId31"/>
    <sheet name="E3-Benchmarks, 1839-1859" sheetId="32" r:id="rId32"/>
    <sheet name="E4-Benchmarks, 1869-1909" sheetId="33" r:id="rId33"/>
    <sheet name="E5 - GDP deflator 1790-1909" sheetId="34" r:id="rId34"/>
    <sheet name="E6 - Ag share of GDP 1793-1859" sheetId="35" r:id="rId35"/>
    <sheet name="E7 -Real GDP 1790-1799" sheetId="36" r:id="rId36"/>
    <sheet name="E8 -Real GDP 1799-1869" sheetId="37" r:id="rId37"/>
    <sheet name="E9 -Real GDP 1869-1909" sheetId="38" r:id="rId38"/>
    <sheet name="E10 - GDP, 1790-1909" sheetId="39" r:id="rId39"/>
    <sheet name="E11 - GDP 1790-2022" sheetId="40" r:id="rId40"/>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38" i="40" l="1"/>
  <c r="C149" i="39"/>
  <c r="E121" i="40"/>
  <c r="B12" i="39"/>
  <c r="C136" i="39"/>
  <c r="F12" i="39"/>
  <c r="G12" i="39"/>
  <c r="C144" i="39"/>
  <c r="H12" i="39"/>
  <c r="D150" i="40"/>
  <c r="I12" i="39"/>
  <c r="B13" i="39"/>
  <c r="F13" i="39"/>
  <c r="G13" i="39"/>
  <c r="H13" i="39"/>
  <c r="I13" i="39"/>
  <c r="B14" i="39"/>
  <c r="F14" i="39"/>
  <c r="G14" i="39"/>
  <c r="H14" i="39"/>
  <c r="I14" i="39"/>
  <c r="B15" i="39"/>
  <c r="F15" i="39"/>
  <c r="G15" i="39"/>
  <c r="H15" i="39"/>
  <c r="I15" i="39"/>
  <c r="B16" i="39"/>
  <c r="F16" i="39"/>
  <c r="G16" i="39"/>
  <c r="H16" i="39"/>
  <c r="I16" i="39"/>
  <c r="B17" i="39"/>
  <c r="F17" i="39"/>
  <c r="G17" i="39"/>
  <c r="H17" i="39"/>
  <c r="I17" i="39"/>
  <c r="B18" i="39"/>
  <c r="F18" i="39"/>
  <c r="G18" i="39"/>
  <c r="H18" i="39"/>
  <c r="I18" i="39"/>
  <c r="B19" i="39"/>
  <c r="F19" i="39"/>
  <c r="G19" i="39"/>
  <c r="H19" i="39"/>
  <c r="I19" i="39"/>
  <c r="B20" i="39"/>
  <c r="F20" i="39"/>
  <c r="G20" i="39"/>
  <c r="H20" i="39"/>
  <c r="I20" i="39"/>
  <c r="B21" i="39"/>
  <c r="F21" i="39"/>
  <c r="G21" i="39"/>
  <c r="H21" i="39"/>
  <c r="I21" i="39"/>
  <c r="B22" i="39"/>
  <c r="F22" i="39"/>
  <c r="G22" i="39"/>
  <c r="H22" i="39"/>
  <c r="I22" i="39"/>
  <c r="B23" i="39"/>
  <c r="F23" i="39"/>
  <c r="G23" i="39"/>
  <c r="H23" i="39"/>
  <c r="I23" i="39"/>
  <c r="B24" i="39"/>
  <c r="F24" i="39"/>
  <c r="G24" i="39"/>
  <c r="H24" i="39"/>
  <c r="I24" i="39"/>
  <c r="B25" i="39"/>
  <c r="F25" i="39"/>
  <c r="G25" i="39"/>
  <c r="H25" i="39"/>
  <c r="I25" i="39"/>
  <c r="B26" i="39"/>
  <c r="F26" i="39"/>
  <c r="G26" i="39"/>
  <c r="H26" i="39"/>
  <c r="I26" i="39"/>
  <c r="B27" i="39"/>
  <c r="F27" i="39"/>
  <c r="G27" i="39"/>
  <c r="H27" i="39"/>
  <c r="I27" i="39"/>
  <c r="B28" i="39"/>
  <c r="F28" i="39"/>
  <c r="G28" i="39"/>
  <c r="H28" i="39"/>
  <c r="I28" i="39"/>
  <c r="B29" i="39"/>
  <c r="F29" i="39"/>
  <c r="G29" i="39"/>
  <c r="H29" i="39"/>
  <c r="I29" i="39"/>
  <c r="B30" i="39"/>
  <c r="F30" i="39"/>
  <c r="G30" i="39"/>
  <c r="H30" i="39"/>
  <c r="I30" i="39"/>
  <c r="B31" i="39"/>
  <c r="F31" i="39"/>
  <c r="G31" i="39"/>
  <c r="H31" i="39"/>
  <c r="I31" i="39"/>
  <c r="B32" i="39"/>
  <c r="F32" i="39"/>
  <c r="G32" i="39"/>
  <c r="H32" i="39"/>
  <c r="I32" i="39"/>
  <c r="B33" i="39"/>
  <c r="F33" i="39"/>
  <c r="G33" i="39"/>
  <c r="H33" i="39"/>
  <c r="I33" i="39"/>
  <c r="B34" i="39"/>
  <c r="F34" i="39"/>
  <c r="G34" i="39"/>
  <c r="H34" i="39"/>
  <c r="I34" i="39"/>
  <c r="B35" i="39"/>
  <c r="F35" i="39"/>
  <c r="G35" i="39"/>
  <c r="H35" i="39"/>
  <c r="I35" i="39"/>
  <c r="B36" i="39"/>
  <c r="F36" i="39"/>
  <c r="G36" i="39"/>
  <c r="H36" i="39"/>
  <c r="I36" i="39"/>
  <c r="B37" i="39"/>
  <c r="F37" i="39"/>
  <c r="G37" i="39"/>
  <c r="H37" i="39"/>
  <c r="I37" i="39"/>
  <c r="B38" i="39"/>
  <c r="F38" i="39"/>
  <c r="G38" i="39"/>
  <c r="H38" i="39"/>
  <c r="I38" i="39"/>
  <c r="B39" i="39"/>
  <c r="F39" i="39"/>
  <c r="G39" i="39"/>
  <c r="H39" i="39"/>
  <c r="I39" i="39"/>
  <c r="B40" i="39"/>
  <c r="F40" i="39"/>
  <c r="G40" i="39"/>
  <c r="H40" i="39"/>
  <c r="I40" i="39"/>
  <c r="B41" i="39"/>
  <c r="F41" i="39"/>
  <c r="G41" i="39"/>
  <c r="H41" i="39"/>
  <c r="I41" i="39"/>
  <c r="B42" i="39"/>
  <c r="F42" i="39"/>
  <c r="G42" i="39"/>
  <c r="H42" i="39"/>
  <c r="I42" i="39"/>
  <c r="B43" i="39"/>
  <c r="F43" i="39"/>
  <c r="G43" i="39"/>
  <c r="H43" i="39"/>
  <c r="I43" i="39"/>
  <c r="B44" i="39"/>
  <c r="F44" i="39"/>
  <c r="G44" i="39"/>
  <c r="H44" i="39"/>
  <c r="I44" i="39"/>
  <c r="B45" i="39"/>
  <c r="F45" i="39"/>
  <c r="G45" i="39"/>
  <c r="H45" i="39"/>
  <c r="I45" i="39"/>
  <c r="B46" i="39"/>
  <c r="F46" i="39"/>
  <c r="G46" i="39"/>
  <c r="H46" i="39"/>
  <c r="I46" i="39"/>
  <c r="B47" i="39"/>
  <c r="F47" i="39"/>
  <c r="G47" i="39"/>
  <c r="H47" i="39"/>
  <c r="I47" i="39"/>
  <c r="B48" i="39"/>
  <c r="F48" i="39"/>
  <c r="G48" i="39"/>
  <c r="H48" i="39"/>
  <c r="I48" i="39"/>
  <c r="B49" i="39"/>
  <c r="F49" i="39"/>
  <c r="G49" i="39"/>
  <c r="H49" i="39"/>
  <c r="I49" i="39"/>
  <c r="B50" i="39"/>
  <c r="F50" i="39"/>
  <c r="G50" i="39"/>
  <c r="H50" i="39"/>
  <c r="I50" i="39"/>
  <c r="B51" i="39"/>
  <c r="F51" i="39"/>
  <c r="G51" i="39"/>
  <c r="H51" i="39"/>
  <c r="I51" i="39"/>
  <c r="B52" i="39"/>
  <c r="F52" i="39"/>
  <c r="G52" i="39"/>
  <c r="H52" i="39"/>
  <c r="I52" i="39"/>
  <c r="B53" i="39"/>
  <c r="F53" i="39"/>
  <c r="G53" i="39"/>
  <c r="H53" i="39"/>
  <c r="I53" i="39"/>
  <c r="B54" i="39"/>
  <c r="F54" i="39"/>
  <c r="G54" i="39"/>
  <c r="H54" i="39"/>
  <c r="I54" i="39"/>
  <c r="B55" i="39"/>
  <c r="F55" i="39"/>
  <c r="G55" i="39"/>
  <c r="H55" i="39"/>
  <c r="I55" i="39"/>
  <c r="B56" i="39"/>
  <c r="F56" i="39"/>
  <c r="G56" i="39"/>
  <c r="H56" i="39"/>
  <c r="I56" i="39"/>
  <c r="B57" i="39"/>
  <c r="F57" i="39"/>
  <c r="G57" i="39"/>
  <c r="H57" i="39"/>
  <c r="I57" i="39"/>
  <c r="B58" i="39"/>
  <c r="F58" i="39"/>
  <c r="G58" i="39"/>
  <c r="H58" i="39"/>
  <c r="I58" i="39"/>
  <c r="B59" i="39"/>
  <c r="F59" i="39"/>
  <c r="G59" i="39"/>
  <c r="H59" i="39"/>
  <c r="I59" i="39"/>
  <c r="B60" i="39"/>
  <c r="F60" i="39"/>
  <c r="G60" i="39"/>
  <c r="H60" i="39"/>
  <c r="I60" i="39"/>
  <c r="B61" i="39"/>
  <c r="F61" i="39"/>
  <c r="G61" i="39"/>
  <c r="H61" i="39"/>
  <c r="I61" i="39"/>
  <c r="B62" i="39"/>
  <c r="F62" i="39"/>
  <c r="G62" i="39"/>
  <c r="H62" i="39"/>
  <c r="I62" i="39"/>
  <c r="B63" i="39"/>
  <c r="F63" i="39"/>
  <c r="G63" i="39"/>
  <c r="H63" i="39"/>
  <c r="I63" i="39"/>
  <c r="B64" i="39"/>
  <c r="F64" i="39"/>
  <c r="G64" i="39"/>
  <c r="H64" i="39"/>
  <c r="I64" i="39"/>
  <c r="B65" i="39"/>
  <c r="F65" i="39"/>
  <c r="G65" i="39"/>
  <c r="H65" i="39"/>
  <c r="I65" i="39"/>
  <c r="B66" i="39"/>
  <c r="F66" i="39"/>
  <c r="G66" i="39"/>
  <c r="H66" i="39"/>
  <c r="I66" i="39"/>
  <c r="B67" i="39"/>
  <c r="F67" i="39"/>
  <c r="G67" i="39"/>
  <c r="H67" i="39"/>
  <c r="I67" i="39"/>
  <c r="B68" i="39"/>
  <c r="F68" i="39"/>
  <c r="G68" i="39"/>
  <c r="H68" i="39"/>
  <c r="I68" i="39"/>
  <c r="B69" i="39"/>
  <c r="F69" i="39"/>
  <c r="G69" i="39"/>
  <c r="H69" i="39"/>
  <c r="I69" i="39"/>
  <c r="B70" i="39"/>
  <c r="F70" i="39"/>
  <c r="G70" i="39"/>
  <c r="H70" i="39"/>
  <c r="I70" i="39"/>
  <c r="B71" i="39"/>
  <c r="F71" i="39"/>
  <c r="G71" i="39"/>
  <c r="H71" i="39"/>
  <c r="I71" i="39"/>
  <c r="B72" i="39"/>
  <c r="F72" i="39"/>
  <c r="G72" i="39"/>
  <c r="H72" i="39"/>
  <c r="I72" i="39"/>
  <c r="B73" i="39"/>
  <c r="F73" i="39"/>
  <c r="G73" i="39"/>
  <c r="H73" i="39"/>
  <c r="I73" i="39"/>
  <c r="B74" i="39"/>
  <c r="F74" i="39"/>
  <c r="G74" i="39"/>
  <c r="H74" i="39"/>
  <c r="I74" i="39"/>
  <c r="B75" i="39"/>
  <c r="F75" i="39"/>
  <c r="G75" i="39"/>
  <c r="H75" i="39"/>
  <c r="I75" i="39"/>
  <c r="B76" i="39"/>
  <c r="F76" i="39"/>
  <c r="G76" i="39"/>
  <c r="H76" i="39"/>
  <c r="I76" i="39"/>
  <c r="B77" i="39"/>
  <c r="F77" i="39"/>
  <c r="G77" i="39"/>
  <c r="H77" i="39"/>
  <c r="I77" i="39"/>
  <c r="B78" i="39"/>
  <c r="F78" i="39"/>
  <c r="G78" i="39"/>
  <c r="H78" i="39"/>
  <c r="I78" i="39"/>
  <c r="B79" i="39"/>
  <c r="F79" i="39"/>
  <c r="G79" i="39"/>
  <c r="H79" i="39"/>
  <c r="I79" i="39"/>
  <c r="B80" i="39"/>
  <c r="F80" i="39"/>
  <c r="G80" i="39"/>
  <c r="H80" i="39"/>
  <c r="I80" i="39"/>
  <c r="B81" i="39"/>
  <c r="F81" i="39"/>
  <c r="G81" i="39"/>
  <c r="H81" i="39"/>
  <c r="I81" i="39"/>
  <c r="B82" i="39"/>
  <c r="F82" i="39"/>
  <c r="G82" i="39"/>
  <c r="H82" i="39"/>
  <c r="I82" i="39"/>
  <c r="B83" i="39"/>
  <c r="F83" i="39"/>
  <c r="G83" i="39"/>
  <c r="H83" i="39"/>
  <c r="I83" i="39"/>
  <c r="B84" i="39"/>
  <c r="F84" i="39"/>
  <c r="G84" i="39"/>
  <c r="H84" i="39"/>
  <c r="I84" i="39"/>
  <c r="B85" i="39"/>
  <c r="F85" i="39"/>
  <c r="G85" i="39"/>
  <c r="H85" i="39"/>
  <c r="I85" i="39"/>
  <c r="B86" i="39"/>
  <c r="F86" i="39"/>
  <c r="G86" i="39"/>
  <c r="H86" i="39"/>
  <c r="I86" i="39"/>
  <c r="B87" i="39"/>
  <c r="F87" i="39"/>
  <c r="G87" i="39"/>
  <c r="H87" i="39"/>
  <c r="I87" i="39"/>
  <c r="B88" i="39"/>
  <c r="F88" i="39"/>
  <c r="G88" i="39"/>
  <c r="H88" i="39"/>
  <c r="I88" i="39"/>
  <c r="B89" i="39"/>
  <c r="F89" i="39"/>
  <c r="G89" i="39"/>
  <c r="H89" i="39"/>
  <c r="I89" i="39"/>
  <c r="B90" i="39"/>
  <c r="F90" i="39"/>
  <c r="G90" i="39"/>
  <c r="H90" i="39"/>
  <c r="I90" i="39"/>
  <c r="B91" i="39"/>
  <c r="F91" i="39"/>
  <c r="G91" i="39"/>
  <c r="H91" i="39"/>
  <c r="I91" i="39"/>
  <c r="B92" i="39"/>
  <c r="F92" i="39"/>
  <c r="G92" i="39"/>
  <c r="H92" i="39"/>
  <c r="I92" i="39"/>
  <c r="B93" i="39"/>
  <c r="F93" i="39"/>
  <c r="G93" i="39"/>
  <c r="H93" i="39"/>
  <c r="I93" i="39"/>
  <c r="B94" i="39"/>
  <c r="F94" i="39"/>
  <c r="G94" i="39"/>
  <c r="H94" i="39"/>
  <c r="I94" i="39"/>
  <c r="B95" i="39"/>
  <c r="F95" i="39"/>
  <c r="G95" i="39"/>
  <c r="H95" i="39"/>
  <c r="I95" i="39"/>
  <c r="B96" i="39"/>
  <c r="F96" i="39"/>
  <c r="G96" i="39"/>
  <c r="H96" i="39"/>
  <c r="I96" i="39"/>
  <c r="B97" i="39"/>
  <c r="F97" i="39"/>
  <c r="G97" i="39"/>
  <c r="H97" i="39"/>
  <c r="I97" i="39"/>
  <c r="B98" i="39"/>
  <c r="F98" i="39"/>
  <c r="G98" i="39"/>
  <c r="H98" i="39"/>
  <c r="I98" i="39"/>
  <c r="B99" i="39"/>
  <c r="F99" i="39"/>
  <c r="G99" i="39"/>
  <c r="H99" i="39"/>
  <c r="I99" i="39"/>
  <c r="B100" i="39"/>
  <c r="F100" i="39"/>
  <c r="G100" i="39"/>
  <c r="H100" i="39"/>
  <c r="I100" i="39"/>
  <c r="B101" i="39"/>
  <c r="F101" i="39"/>
  <c r="G101" i="39"/>
  <c r="H101" i="39"/>
  <c r="I101" i="39"/>
  <c r="B102" i="39"/>
  <c r="F102" i="39"/>
  <c r="G102" i="39"/>
  <c r="H102" i="39"/>
  <c r="I102" i="39"/>
  <c r="B103" i="39"/>
  <c r="F103" i="39"/>
  <c r="G103" i="39"/>
  <c r="H103" i="39"/>
  <c r="I103" i="39"/>
  <c r="B104" i="39"/>
  <c r="F104" i="39"/>
  <c r="G104" i="39"/>
  <c r="H104" i="39"/>
  <c r="I104" i="39"/>
  <c r="B105" i="39"/>
  <c r="F105" i="39"/>
  <c r="G105" i="39"/>
  <c r="H105" i="39"/>
  <c r="I105" i="39"/>
  <c r="B106" i="39"/>
  <c r="F106" i="39"/>
  <c r="G106" i="39"/>
  <c r="H106" i="39"/>
  <c r="I106" i="39"/>
  <c r="B107" i="39"/>
  <c r="F107" i="39"/>
  <c r="G107" i="39"/>
  <c r="H107" i="39"/>
  <c r="I107" i="39"/>
  <c r="B108" i="39"/>
  <c r="F108" i="39"/>
  <c r="G108" i="39"/>
  <c r="H108" i="39"/>
  <c r="I108" i="39"/>
  <c r="B109" i="39"/>
  <c r="F109" i="39"/>
  <c r="G109" i="39"/>
  <c r="H109" i="39"/>
  <c r="I109" i="39"/>
  <c r="B110" i="39"/>
  <c r="F110" i="39"/>
  <c r="G110" i="39"/>
  <c r="H110" i="39"/>
  <c r="I110" i="39"/>
  <c r="B111" i="39"/>
  <c r="F111" i="39"/>
  <c r="G111" i="39"/>
  <c r="H111" i="39"/>
  <c r="I111" i="39"/>
  <c r="B112" i="39"/>
  <c r="F112" i="39"/>
  <c r="G112" i="39"/>
  <c r="H112" i="39"/>
  <c r="I112" i="39"/>
  <c r="B113" i="39"/>
  <c r="F113" i="39"/>
  <c r="G113" i="39"/>
  <c r="H113" i="39"/>
  <c r="I113" i="39"/>
  <c r="B114" i="39"/>
  <c r="F114" i="39"/>
  <c r="G114" i="39"/>
  <c r="H114" i="39"/>
  <c r="I114" i="39"/>
  <c r="B115" i="39"/>
  <c r="F115" i="39"/>
  <c r="G115" i="39"/>
  <c r="H115" i="39"/>
  <c r="I115" i="39"/>
  <c r="B116" i="39"/>
  <c r="F116" i="39"/>
  <c r="G116" i="39"/>
  <c r="H116" i="39"/>
  <c r="I116" i="39"/>
  <c r="B117" i="39"/>
  <c r="F117" i="39"/>
  <c r="G117" i="39"/>
  <c r="H117" i="39"/>
  <c r="I117" i="39"/>
  <c r="B118" i="39"/>
  <c r="F118" i="39"/>
  <c r="G118" i="39"/>
  <c r="H118" i="39"/>
  <c r="I118" i="39"/>
  <c r="B119" i="39"/>
  <c r="F119" i="39"/>
  <c r="G119" i="39"/>
  <c r="H119" i="39"/>
  <c r="I119" i="39"/>
  <c r="B120" i="39"/>
  <c r="F120" i="39"/>
  <c r="G120" i="39"/>
  <c r="H120" i="39"/>
  <c r="I120" i="39"/>
  <c r="B121" i="39"/>
  <c r="F121" i="39"/>
  <c r="G121" i="39"/>
  <c r="H121" i="39"/>
  <c r="I121" i="39"/>
  <c r="B122" i="39"/>
  <c r="F122" i="39"/>
  <c r="G122" i="39"/>
  <c r="H122" i="39"/>
  <c r="I122" i="39"/>
  <c r="B123" i="39"/>
  <c r="F123" i="39"/>
  <c r="G123" i="39"/>
  <c r="H123" i="39"/>
  <c r="I123" i="39"/>
  <c r="B124" i="39"/>
  <c r="F124" i="39"/>
  <c r="G124" i="39"/>
  <c r="H124" i="39"/>
  <c r="I124" i="39"/>
  <c r="B125" i="39"/>
  <c r="F125" i="39"/>
  <c r="G125" i="39"/>
  <c r="H125" i="39"/>
  <c r="I125" i="39"/>
  <c r="B126" i="39"/>
  <c r="F126" i="39"/>
  <c r="G126" i="39"/>
  <c r="H126" i="39"/>
  <c r="I126" i="39"/>
  <c r="B127" i="39"/>
  <c r="F127" i="39"/>
  <c r="G127" i="39"/>
  <c r="H127" i="39"/>
  <c r="I127" i="39"/>
  <c r="B128" i="39"/>
  <c r="F128" i="39"/>
  <c r="G128" i="39"/>
  <c r="H128" i="39"/>
  <c r="I128" i="39"/>
  <c r="B129" i="39"/>
  <c r="F129" i="39"/>
  <c r="G129" i="39"/>
  <c r="H129" i="39"/>
  <c r="I129" i="39"/>
  <c r="B130" i="39"/>
  <c r="F130" i="39"/>
  <c r="G130" i="39"/>
  <c r="H130" i="39"/>
  <c r="I130" i="39"/>
  <c r="C130" i="39"/>
  <c r="C12" i="39"/>
  <c r="D12" i="39"/>
  <c r="E12" i="39"/>
  <c r="C13" i="39"/>
  <c r="D13" i="39"/>
  <c r="E13" i="39"/>
  <c r="C14" i="39"/>
  <c r="D14" i="39"/>
  <c r="E14" i="39"/>
  <c r="C15" i="39"/>
  <c r="D15" i="39"/>
  <c r="E15" i="39"/>
  <c r="C16" i="39"/>
  <c r="D16" i="39"/>
  <c r="E16" i="39"/>
  <c r="C17" i="39"/>
  <c r="D17" i="39"/>
  <c r="E17" i="39"/>
  <c r="C18" i="39"/>
  <c r="D18" i="39"/>
  <c r="E18" i="39"/>
  <c r="C19" i="39"/>
  <c r="D19" i="39"/>
  <c r="E19" i="39"/>
  <c r="C20" i="39"/>
  <c r="D20" i="39"/>
  <c r="E20" i="39"/>
  <c r="C21" i="39"/>
  <c r="D21" i="39"/>
  <c r="E21" i="39"/>
  <c r="C22" i="39"/>
  <c r="D22" i="39"/>
  <c r="E22" i="39"/>
  <c r="C23" i="39"/>
  <c r="D23" i="39"/>
  <c r="E23" i="39"/>
  <c r="C24" i="39"/>
  <c r="D24" i="39"/>
  <c r="E24" i="39"/>
  <c r="C25" i="39"/>
  <c r="D25" i="39"/>
  <c r="E25" i="39"/>
  <c r="C26" i="39"/>
  <c r="D26" i="39"/>
  <c r="E26" i="39"/>
  <c r="C27" i="39"/>
  <c r="D27" i="39"/>
  <c r="E27" i="39"/>
  <c r="C28" i="39"/>
  <c r="D28" i="39"/>
  <c r="E28" i="39"/>
  <c r="C29" i="39"/>
  <c r="D29" i="39"/>
  <c r="E29" i="39"/>
  <c r="C30" i="39"/>
  <c r="D30" i="39"/>
  <c r="E30" i="39"/>
  <c r="C31" i="39"/>
  <c r="D31" i="39"/>
  <c r="E31" i="39"/>
  <c r="C32" i="39"/>
  <c r="D32" i="39"/>
  <c r="E32" i="39"/>
  <c r="C33" i="39"/>
  <c r="D33" i="39"/>
  <c r="E33" i="39"/>
  <c r="C34" i="39"/>
  <c r="D34" i="39"/>
  <c r="E34" i="39"/>
  <c r="C35" i="39"/>
  <c r="D35" i="39"/>
  <c r="E35" i="39"/>
  <c r="C36" i="39"/>
  <c r="D36" i="39"/>
  <c r="E36" i="39"/>
  <c r="C37" i="39"/>
  <c r="D37" i="39"/>
  <c r="E37" i="39"/>
  <c r="C38" i="39"/>
  <c r="D38" i="39"/>
  <c r="E38" i="39"/>
  <c r="C39" i="39"/>
  <c r="D39" i="39"/>
  <c r="E39" i="39"/>
  <c r="C40" i="39"/>
  <c r="D40" i="39"/>
  <c r="E40" i="39"/>
  <c r="C41" i="39"/>
  <c r="D41" i="39"/>
  <c r="E41" i="39"/>
  <c r="C42" i="39"/>
  <c r="D42" i="39"/>
  <c r="E42" i="39"/>
  <c r="C43" i="39"/>
  <c r="D43" i="39"/>
  <c r="E43" i="39"/>
  <c r="C44" i="39"/>
  <c r="D44" i="39"/>
  <c r="E44" i="39"/>
  <c r="C45" i="39"/>
  <c r="D45" i="39"/>
  <c r="E45" i="39"/>
  <c r="C46" i="39"/>
  <c r="D46" i="39"/>
  <c r="E46" i="39"/>
  <c r="C47" i="39"/>
  <c r="D47" i="39"/>
  <c r="E47" i="39"/>
  <c r="C48" i="39"/>
  <c r="D48" i="39"/>
  <c r="E48" i="39"/>
  <c r="C49" i="39"/>
  <c r="D49" i="39"/>
  <c r="E49" i="39"/>
  <c r="C50" i="39"/>
  <c r="D50" i="39"/>
  <c r="E50" i="39"/>
  <c r="C51" i="39"/>
  <c r="D51" i="39"/>
  <c r="E51" i="39"/>
  <c r="C52" i="39"/>
  <c r="D52" i="39"/>
  <c r="E52" i="39"/>
  <c r="C53" i="39"/>
  <c r="D53" i="39"/>
  <c r="E53" i="39"/>
  <c r="C54" i="39"/>
  <c r="D54" i="39"/>
  <c r="E54" i="39"/>
  <c r="C55" i="39"/>
  <c r="D55" i="39"/>
  <c r="E55" i="39"/>
  <c r="C56" i="39"/>
  <c r="D56" i="39"/>
  <c r="E56" i="39"/>
  <c r="C57" i="39"/>
  <c r="D57" i="39"/>
  <c r="E57" i="39"/>
  <c r="C58" i="39"/>
  <c r="D58" i="39"/>
  <c r="E58" i="39"/>
  <c r="C59" i="39"/>
  <c r="D59" i="39"/>
  <c r="E59" i="39"/>
  <c r="C60" i="39"/>
  <c r="D60" i="39"/>
  <c r="E60" i="39"/>
  <c r="C61" i="39"/>
  <c r="D61" i="39"/>
  <c r="E61" i="39"/>
  <c r="C62" i="39"/>
  <c r="D62" i="39"/>
  <c r="E62" i="39"/>
  <c r="C63" i="39"/>
  <c r="D63" i="39"/>
  <c r="E63" i="39"/>
  <c r="C64" i="39"/>
  <c r="D64" i="39"/>
  <c r="E64" i="39"/>
  <c r="C65" i="39"/>
  <c r="D65" i="39"/>
  <c r="E65" i="39"/>
  <c r="C66" i="39"/>
  <c r="D66" i="39"/>
  <c r="E66" i="39"/>
  <c r="C67" i="39"/>
  <c r="D67" i="39"/>
  <c r="E67" i="39"/>
  <c r="C68" i="39"/>
  <c r="D68" i="39"/>
  <c r="E68" i="39"/>
  <c r="C69" i="39"/>
  <c r="D69" i="39"/>
  <c r="E69" i="39"/>
  <c r="C70" i="39"/>
  <c r="D70" i="39"/>
  <c r="E70" i="39"/>
  <c r="C71" i="39"/>
  <c r="D71" i="39"/>
  <c r="E71" i="39"/>
  <c r="C72" i="39"/>
  <c r="D72" i="39"/>
  <c r="E72" i="39"/>
  <c r="C73" i="39"/>
  <c r="D73" i="39"/>
  <c r="E73" i="39"/>
  <c r="C74" i="39"/>
  <c r="D74" i="39"/>
  <c r="E74" i="39"/>
  <c r="C75" i="39"/>
  <c r="D75" i="39"/>
  <c r="E75" i="39"/>
  <c r="C76" i="39"/>
  <c r="D76" i="39"/>
  <c r="E76" i="39"/>
  <c r="C77" i="39"/>
  <c r="D77" i="39"/>
  <c r="E77" i="39"/>
  <c r="C78" i="39"/>
  <c r="D78" i="39"/>
  <c r="E78" i="39"/>
  <c r="C79" i="39"/>
  <c r="D79" i="39"/>
  <c r="E79" i="39"/>
  <c r="C80" i="39"/>
  <c r="D80" i="39"/>
  <c r="E80" i="39"/>
  <c r="C81" i="39"/>
  <c r="D81" i="39"/>
  <c r="E81" i="39"/>
  <c r="C82" i="39"/>
  <c r="D82" i="39"/>
  <c r="E82" i="39"/>
  <c r="C83" i="39"/>
  <c r="D83" i="39"/>
  <c r="E83" i="39"/>
  <c r="C84" i="39"/>
  <c r="D84" i="39"/>
  <c r="E84" i="39"/>
  <c r="C85" i="39"/>
  <c r="D85" i="39"/>
  <c r="E85" i="39"/>
  <c r="C86" i="39"/>
  <c r="D86" i="39"/>
  <c r="E86" i="39"/>
  <c r="C87" i="39"/>
  <c r="D87" i="39"/>
  <c r="E87" i="39"/>
  <c r="C88" i="39"/>
  <c r="D88" i="39"/>
  <c r="E88" i="39"/>
  <c r="C89" i="39"/>
  <c r="D89" i="39"/>
  <c r="E89" i="39"/>
  <c r="C90" i="39"/>
  <c r="D90" i="39"/>
  <c r="E90" i="39"/>
  <c r="C91" i="39"/>
  <c r="D91" i="39"/>
  <c r="E91" i="39"/>
  <c r="C92" i="39"/>
  <c r="D92" i="39"/>
  <c r="E92" i="39"/>
  <c r="C93" i="39"/>
  <c r="D93" i="39"/>
  <c r="E93" i="39"/>
  <c r="C94" i="39"/>
  <c r="D94" i="39"/>
  <c r="E94" i="39"/>
  <c r="C95" i="39"/>
  <c r="D95" i="39"/>
  <c r="E95" i="39"/>
  <c r="C96" i="39"/>
  <c r="D96" i="39"/>
  <c r="E96" i="39"/>
  <c r="C97" i="39"/>
  <c r="D97" i="39"/>
  <c r="E97" i="39"/>
  <c r="C98" i="39"/>
  <c r="D98" i="39"/>
  <c r="E98" i="39"/>
  <c r="C99" i="39"/>
  <c r="D99" i="39"/>
  <c r="E99" i="39"/>
  <c r="C100" i="39"/>
  <c r="D100" i="39"/>
  <c r="E100" i="39"/>
  <c r="C101" i="39"/>
  <c r="D101" i="39"/>
  <c r="E101" i="39"/>
  <c r="C102" i="39"/>
  <c r="D102" i="39"/>
  <c r="E102" i="39"/>
  <c r="C103" i="39"/>
  <c r="D103" i="39"/>
  <c r="E103" i="39"/>
  <c r="C104" i="39"/>
  <c r="D104" i="39"/>
  <c r="E104" i="39"/>
  <c r="C105" i="39"/>
  <c r="D105" i="39"/>
  <c r="E105" i="39"/>
  <c r="C106" i="39"/>
  <c r="D106" i="39"/>
  <c r="E106" i="39"/>
  <c r="C107" i="39"/>
  <c r="D107" i="39"/>
  <c r="E107" i="39"/>
  <c r="C108" i="39"/>
  <c r="D108" i="39"/>
  <c r="E108" i="39"/>
  <c r="C109" i="39"/>
  <c r="D109" i="39"/>
  <c r="E109" i="39"/>
  <c r="C110" i="39"/>
  <c r="D110" i="39"/>
  <c r="E110" i="39"/>
  <c r="C111" i="39"/>
  <c r="D111" i="39"/>
  <c r="E111" i="39"/>
  <c r="C112" i="39"/>
  <c r="D112" i="39"/>
  <c r="E112" i="39"/>
  <c r="C113" i="39"/>
  <c r="D113" i="39"/>
  <c r="E113" i="39"/>
  <c r="C114" i="39"/>
  <c r="D114" i="39"/>
  <c r="E114" i="39"/>
  <c r="C115" i="39"/>
  <c r="D115" i="39"/>
  <c r="E115" i="39"/>
  <c r="C116" i="39"/>
  <c r="D116" i="39"/>
  <c r="E116" i="39"/>
  <c r="C117" i="39"/>
  <c r="D117" i="39"/>
  <c r="E117" i="39"/>
  <c r="C118" i="39"/>
  <c r="D118" i="39"/>
  <c r="E118" i="39"/>
  <c r="C119" i="39"/>
  <c r="D119" i="39"/>
  <c r="E119" i="39"/>
  <c r="C120" i="39"/>
  <c r="D120" i="39"/>
  <c r="E120" i="39"/>
  <c r="C121" i="39"/>
  <c r="D121" i="39"/>
  <c r="E121" i="39"/>
  <c r="C122" i="39"/>
  <c r="D122" i="39"/>
  <c r="E122" i="39"/>
  <c r="C123" i="39"/>
  <c r="D123" i="39"/>
  <c r="E123" i="39"/>
  <c r="C124" i="39"/>
  <c r="D124" i="39"/>
  <c r="E124" i="39"/>
  <c r="C125" i="39"/>
  <c r="D125" i="39"/>
  <c r="E125" i="39"/>
  <c r="C126" i="39"/>
  <c r="D126" i="39"/>
  <c r="E126" i="39"/>
  <c r="C127" i="39"/>
  <c r="D127" i="39"/>
  <c r="E127" i="39"/>
  <c r="C128" i="39"/>
  <c r="D128" i="39"/>
  <c r="E128" i="39"/>
  <c r="C129" i="39"/>
  <c r="D129" i="39"/>
  <c r="E129" i="39"/>
  <c r="E130" i="39"/>
  <c r="C11" i="39"/>
  <c r="D11" i="39"/>
  <c r="E11" i="39"/>
  <c r="B11" i="39"/>
  <c r="F11" i="39"/>
  <c r="G11" i="39"/>
  <c r="H11" i="39"/>
  <c r="I11" i="39"/>
  <c r="I9" i="26"/>
  <c r="I10" i="26"/>
  <c r="I11" i="26"/>
  <c r="I12" i="26"/>
  <c r="I13" i="26"/>
  <c r="I14" i="26"/>
  <c r="I15" i="26"/>
  <c r="I16" i="26"/>
  <c r="I17" i="26"/>
  <c r="I18" i="26"/>
  <c r="I19" i="26"/>
  <c r="I20" i="26"/>
  <c r="I21" i="26"/>
  <c r="I22" i="26"/>
  <c r="I23" i="26"/>
  <c r="I24" i="26"/>
  <c r="I25" i="26"/>
  <c r="I26" i="26"/>
  <c r="I27" i="26"/>
  <c r="I28" i="26"/>
  <c r="I29" i="26"/>
  <c r="I8" i="26"/>
  <c r="B243" i="40"/>
  <c r="E243" i="40"/>
  <c r="F243" i="40"/>
  <c r="C243" i="40"/>
  <c r="G243" i="40"/>
  <c r="C150" i="40"/>
  <c r="H17" i="26"/>
  <c r="D243" i="40"/>
  <c r="C242" i="40"/>
  <c r="E242" i="40"/>
  <c r="G242" i="40"/>
  <c r="B242" i="40"/>
  <c r="F242" i="40"/>
  <c r="D242" i="40"/>
  <c r="C241" i="40"/>
  <c r="E241" i="40"/>
  <c r="G241" i="40"/>
  <c r="B241" i="40"/>
  <c r="F241" i="40"/>
  <c r="D241" i="40"/>
  <c r="C240" i="40"/>
  <c r="E240" i="40"/>
  <c r="G240" i="40"/>
  <c r="B240" i="40"/>
  <c r="F240" i="40"/>
  <c r="D240" i="40"/>
  <c r="C239" i="40"/>
  <c r="E239" i="40"/>
  <c r="G239" i="40"/>
  <c r="B239" i="40"/>
  <c r="F239" i="40"/>
  <c r="D239" i="40"/>
  <c r="C238" i="40"/>
  <c r="E238" i="40"/>
  <c r="G238" i="40"/>
  <c r="B238" i="40"/>
  <c r="D238" i="40"/>
  <c r="C237" i="40"/>
  <c r="E237" i="40"/>
  <c r="G237" i="40"/>
  <c r="B237" i="40"/>
  <c r="F237" i="40"/>
  <c r="D237" i="40"/>
  <c r="C236" i="40"/>
  <c r="E236" i="40"/>
  <c r="G236" i="40"/>
  <c r="B236" i="40"/>
  <c r="F236" i="40"/>
  <c r="D236" i="40"/>
  <c r="C235" i="40"/>
  <c r="E235" i="40"/>
  <c r="G235" i="40"/>
  <c r="B235" i="40"/>
  <c r="F235" i="40"/>
  <c r="D235" i="40"/>
  <c r="C234" i="40"/>
  <c r="E234" i="40"/>
  <c r="G234" i="40"/>
  <c r="B234" i="40"/>
  <c r="F234" i="40"/>
  <c r="D234" i="40"/>
  <c r="C233" i="40"/>
  <c r="E233" i="40"/>
  <c r="G233" i="40"/>
  <c r="B233" i="40"/>
  <c r="F233" i="40"/>
  <c r="D233" i="40"/>
  <c r="C232" i="40"/>
  <c r="E232" i="40"/>
  <c r="G232" i="40"/>
  <c r="B232" i="40"/>
  <c r="F232" i="40"/>
  <c r="D232" i="40"/>
  <c r="C231" i="40"/>
  <c r="E231" i="40"/>
  <c r="G231" i="40"/>
  <c r="B231" i="40"/>
  <c r="F231" i="40"/>
  <c r="D231" i="40"/>
  <c r="C230" i="40"/>
  <c r="E230" i="40"/>
  <c r="G230" i="40"/>
  <c r="B230" i="40"/>
  <c r="F230" i="40"/>
  <c r="D230" i="40"/>
  <c r="C229" i="40"/>
  <c r="E229" i="40"/>
  <c r="G229" i="40"/>
  <c r="B229" i="40"/>
  <c r="F229" i="40"/>
  <c r="D229" i="40"/>
  <c r="C228" i="40"/>
  <c r="E228" i="40"/>
  <c r="G228" i="40"/>
  <c r="B228" i="40"/>
  <c r="F228" i="40"/>
  <c r="D228" i="40"/>
  <c r="C227" i="40"/>
  <c r="E227" i="40"/>
  <c r="G227" i="40"/>
  <c r="B227" i="40"/>
  <c r="F227" i="40"/>
  <c r="D227" i="40"/>
  <c r="C226" i="40"/>
  <c r="E226" i="40"/>
  <c r="G226" i="40"/>
  <c r="B226" i="40"/>
  <c r="F226" i="40"/>
  <c r="D226" i="40"/>
  <c r="C225" i="40"/>
  <c r="E225" i="40"/>
  <c r="G225" i="40"/>
  <c r="B225" i="40"/>
  <c r="F225" i="40"/>
  <c r="D225" i="40"/>
  <c r="C224" i="40"/>
  <c r="E224" i="40"/>
  <c r="G224" i="40"/>
  <c r="B224" i="40"/>
  <c r="F224" i="40"/>
  <c r="D224" i="40"/>
  <c r="C223" i="40"/>
  <c r="E223" i="40"/>
  <c r="G223" i="40"/>
  <c r="B223" i="40"/>
  <c r="F223" i="40"/>
  <c r="D223" i="40"/>
  <c r="C222" i="40"/>
  <c r="E222" i="40"/>
  <c r="G222" i="40"/>
  <c r="B222" i="40"/>
  <c r="F222" i="40"/>
  <c r="D222" i="40"/>
  <c r="C221" i="40"/>
  <c r="E221" i="40"/>
  <c r="G221" i="40"/>
  <c r="B221" i="40"/>
  <c r="F221" i="40"/>
  <c r="D221" i="40"/>
  <c r="C220" i="40"/>
  <c r="E220" i="40"/>
  <c r="G220" i="40"/>
  <c r="B220" i="40"/>
  <c r="F220" i="40"/>
  <c r="D220" i="40"/>
  <c r="C219" i="40"/>
  <c r="E219" i="40"/>
  <c r="G219" i="40"/>
  <c r="B219" i="40"/>
  <c r="F219" i="40"/>
  <c r="D219" i="40"/>
  <c r="C218" i="40"/>
  <c r="E218" i="40"/>
  <c r="G218" i="40"/>
  <c r="B218" i="40"/>
  <c r="F218" i="40"/>
  <c r="D218" i="40"/>
  <c r="C217" i="40"/>
  <c r="E217" i="40"/>
  <c r="G217" i="40"/>
  <c r="B217" i="40"/>
  <c r="F217" i="40"/>
  <c r="D217" i="40"/>
  <c r="C216" i="40"/>
  <c r="E216" i="40"/>
  <c r="G216" i="40"/>
  <c r="B216" i="40"/>
  <c r="F216" i="40"/>
  <c r="D216" i="40"/>
  <c r="C215" i="40"/>
  <c r="E215" i="40"/>
  <c r="G215" i="40"/>
  <c r="B215" i="40"/>
  <c r="F215" i="40"/>
  <c r="D215" i="40"/>
  <c r="C214" i="40"/>
  <c r="E214" i="40"/>
  <c r="G214" i="40"/>
  <c r="B214" i="40"/>
  <c r="F214" i="40"/>
  <c r="D214" i="40"/>
  <c r="C213" i="40"/>
  <c r="E213" i="40"/>
  <c r="G213" i="40"/>
  <c r="B213" i="40"/>
  <c r="F213" i="40"/>
  <c r="D213" i="40"/>
  <c r="C212" i="40"/>
  <c r="E212" i="40"/>
  <c r="G212" i="40"/>
  <c r="B212" i="40"/>
  <c r="F212" i="40"/>
  <c r="D212" i="40"/>
  <c r="C211" i="40"/>
  <c r="E211" i="40"/>
  <c r="G211" i="40"/>
  <c r="B211" i="40"/>
  <c r="F211" i="40"/>
  <c r="D211" i="40"/>
  <c r="C210" i="40"/>
  <c r="E210" i="40"/>
  <c r="G210" i="40"/>
  <c r="B210" i="40"/>
  <c r="F210" i="40"/>
  <c r="D210" i="40"/>
  <c r="C209" i="40"/>
  <c r="E209" i="40"/>
  <c r="G209" i="40"/>
  <c r="B209" i="40"/>
  <c r="F209" i="40"/>
  <c r="D209" i="40"/>
  <c r="C208" i="40"/>
  <c r="E208" i="40"/>
  <c r="G208" i="40"/>
  <c r="B208" i="40"/>
  <c r="F208" i="40"/>
  <c r="D208" i="40"/>
  <c r="C207" i="40"/>
  <c r="E207" i="40"/>
  <c r="G207" i="40"/>
  <c r="B207" i="40"/>
  <c r="F207" i="40"/>
  <c r="D207" i="40"/>
  <c r="C206" i="40"/>
  <c r="E206" i="40"/>
  <c r="G206" i="40"/>
  <c r="B206" i="40"/>
  <c r="F206" i="40"/>
  <c r="D206" i="40"/>
  <c r="C205" i="40"/>
  <c r="E205" i="40"/>
  <c r="G205" i="40"/>
  <c r="B205" i="40"/>
  <c r="F205" i="40"/>
  <c r="D205" i="40"/>
  <c r="C204" i="40"/>
  <c r="E204" i="40"/>
  <c r="G204" i="40"/>
  <c r="B204" i="40"/>
  <c r="F204" i="40"/>
  <c r="D204" i="40"/>
  <c r="C203" i="40"/>
  <c r="E203" i="40"/>
  <c r="G203" i="40"/>
  <c r="B203" i="40"/>
  <c r="F203" i="40"/>
  <c r="D203" i="40"/>
  <c r="C202" i="40"/>
  <c r="E202" i="40"/>
  <c r="G202" i="40"/>
  <c r="B202" i="40"/>
  <c r="F202" i="40"/>
  <c r="D202" i="40"/>
  <c r="C201" i="40"/>
  <c r="E201" i="40"/>
  <c r="G201" i="40"/>
  <c r="B201" i="40"/>
  <c r="F201" i="40"/>
  <c r="D201" i="40"/>
  <c r="C200" i="40"/>
  <c r="E200" i="40"/>
  <c r="G200" i="40"/>
  <c r="B200" i="40"/>
  <c r="F200" i="40"/>
  <c r="D200" i="40"/>
  <c r="C199" i="40"/>
  <c r="E199" i="40"/>
  <c r="G199" i="40"/>
  <c r="B199" i="40"/>
  <c r="F199" i="40"/>
  <c r="D199" i="40"/>
  <c r="C198" i="40"/>
  <c r="E198" i="40"/>
  <c r="G198" i="40"/>
  <c r="B198" i="40"/>
  <c r="F198" i="40"/>
  <c r="D198" i="40"/>
  <c r="C197" i="40"/>
  <c r="E197" i="40"/>
  <c r="G197" i="40"/>
  <c r="B197" i="40"/>
  <c r="F197" i="40"/>
  <c r="D197" i="40"/>
  <c r="C196" i="40"/>
  <c r="E196" i="40"/>
  <c r="G196" i="40"/>
  <c r="B196" i="40"/>
  <c r="F196" i="40"/>
  <c r="D196" i="40"/>
  <c r="C195" i="40"/>
  <c r="E195" i="40"/>
  <c r="G195" i="40"/>
  <c r="B195" i="40"/>
  <c r="F195" i="40"/>
  <c r="D195" i="40"/>
  <c r="C194" i="40"/>
  <c r="E194" i="40"/>
  <c r="G194" i="40"/>
  <c r="B194" i="40"/>
  <c r="F194" i="40"/>
  <c r="D194" i="40"/>
  <c r="C193" i="40"/>
  <c r="E193" i="40"/>
  <c r="G193" i="40"/>
  <c r="B193" i="40"/>
  <c r="F193" i="40"/>
  <c r="D193" i="40"/>
  <c r="C192" i="40"/>
  <c r="E192" i="40"/>
  <c r="G192" i="40"/>
  <c r="B192" i="40"/>
  <c r="F192" i="40"/>
  <c r="D192" i="40"/>
  <c r="C191" i="40"/>
  <c r="E191" i="40"/>
  <c r="G191" i="40"/>
  <c r="B191" i="40"/>
  <c r="F191" i="40"/>
  <c r="D191" i="40"/>
  <c r="C190" i="40"/>
  <c r="E190" i="40"/>
  <c r="G190" i="40"/>
  <c r="B190" i="40"/>
  <c r="F190" i="40"/>
  <c r="D190" i="40"/>
  <c r="C189" i="40"/>
  <c r="E189" i="40"/>
  <c r="G189" i="40"/>
  <c r="B189" i="40"/>
  <c r="F189" i="40"/>
  <c r="D189" i="40"/>
  <c r="C188" i="40"/>
  <c r="E188" i="40"/>
  <c r="G188" i="40"/>
  <c r="B188" i="40"/>
  <c r="F188" i="40"/>
  <c r="D188" i="40"/>
  <c r="C187" i="40"/>
  <c r="E187" i="40"/>
  <c r="G187" i="40"/>
  <c r="B187" i="40"/>
  <c r="F187" i="40"/>
  <c r="D187" i="40"/>
  <c r="C186" i="40"/>
  <c r="E186" i="40"/>
  <c r="G186" i="40"/>
  <c r="B186" i="40"/>
  <c r="F186" i="40"/>
  <c r="D186" i="40"/>
  <c r="C185" i="40"/>
  <c r="E185" i="40"/>
  <c r="G185" i="40"/>
  <c r="B185" i="40"/>
  <c r="F185" i="40"/>
  <c r="D185" i="40"/>
  <c r="C184" i="40"/>
  <c r="E184" i="40"/>
  <c r="G184" i="40"/>
  <c r="B184" i="40"/>
  <c r="F184" i="40"/>
  <c r="D184" i="40"/>
  <c r="C183" i="40"/>
  <c r="E183" i="40"/>
  <c r="G183" i="40"/>
  <c r="B183" i="40"/>
  <c r="F183" i="40"/>
  <c r="D183" i="40"/>
  <c r="C182" i="40"/>
  <c r="E182" i="40"/>
  <c r="G182" i="40"/>
  <c r="B182" i="40"/>
  <c r="F182" i="40"/>
  <c r="D182" i="40"/>
  <c r="C181" i="40"/>
  <c r="E181" i="40"/>
  <c r="G181" i="40"/>
  <c r="B181" i="40"/>
  <c r="F181" i="40"/>
  <c r="D181" i="40"/>
  <c r="C180" i="40"/>
  <c r="E180" i="40"/>
  <c r="G180" i="40"/>
  <c r="B180" i="40"/>
  <c r="F180" i="40"/>
  <c r="D180" i="40"/>
  <c r="C179" i="40"/>
  <c r="E179" i="40"/>
  <c r="G179" i="40"/>
  <c r="B179" i="40"/>
  <c r="F179" i="40"/>
  <c r="D179" i="40"/>
  <c r="C178" i="40"/>
  <c r="E178" i="40"/>
  <c r="G178" i="40"/>
  <c r="B178" i="40"/>
  <c r="F178" i="40"/>
  <c r="D178" i="40"/>
  <c r="C177" i="40"/>
  <c r="E177" i="40"/>
  <c r="G177" i="40"/>
  <c r="B177" i="40"/>
  <c r="F177" i="40"/>
  <c r="D177" i="40"/>
  <c r="C176" i="40"/>
  <c r="E176" i="40"/>
  <c r="G176" i="40"/>
  <c r="B176" i="40"/>
  <c r="F176" i="40"/>
  <c r="D176" i="40"/>
  <c r="C175" i="40"/>
  <c r="E175" i="40"/>
  <c r="G175" i="40"/>
  <c r="B175" i="40"/>
  <c r="F175" i="40"/>
  <c r="D175" i="40"/>
  <c r="C174" i="40"/>
  <c r="E174" i="40"/>
  <c r="G174" i="40"/>
  <c r="B174" i="40"/>
  <c r="F174" i="40"/>
  <c r="D174" i="40"/>
  <c r="C173" i="40"/>
  <c r="E173" i="40"/>
  <c r="G173" i="40"/>
  <c r="B173" i="40"/>
  <c r="F173" i="40"/>
  <c r="D173" i="40"/>
  <c r="C172" i="40"/>
  <c r="E172" i="40"/>
  <c r="G172" i="40"/>
  <c r="B172" i="40"/>
  <c r="F172" i="40"/>
  <c r="D172" i="40"/>
  <c r="C171" i="40"/>
  <c r="E171" i="40"/>
  <c r="G171" i="40"/>
  <c r="B171" i="40"/>
  <c r="F171" i="40"/>
  <c r="D171" i="40"/>
  <c r="C170" i="40"/>
  <c r="E170" i="40"/>
  <c r="G170" i="40"/>
  <c r="B170" i="40"/>
  <c r="F170" i="40"/>
  <c r="D170" i="40"/>
  <c r="C169" i="40"/>
  <c r="E169" i="40"/>
  <c r="G169" i="40"/>
  <c r="B169" i="40"/>
  <c r="F169" i="40"/>
  <c r="D169" i="40"/>
  <c r="C168" i="40"/>
  <c r="E168" i="40"/>
  <c r="G168" i="40"/>
  <c r="B168" i="40"/>
  <c r="F168" i="40"/>
  <c r="D168" i="40"/>
  <c r="C167" i="40"/>
  <c r="E167" i="40"/>
  <c r="G167" i="40"/>
  <c r="B167" i="40"/>
  <c r="F167" i="40"/>
  <c r="D167" i="40"/>
  <c r="C166" i="40"/>
  <c r="E166" i="40"/>
  <c r="G166" i="40"/>
  <c r="B166" i="40"/>
  <c r="F166" i="40"/>
  <c r="D166" i="40"/>
  <c r="C165" i="40"/>
  <c r="E165" i="40"/>
  <c r="G165" i="40"/>
  <c r="B165" i="40"/>
  <c r="F165" i="40"/>
  <c r="D165" i="40"/>
  <c r="C164" i="40"/>
  <c r="E164" i="40"/>
  <c r="G164" i="40"/>
  <c r="B164" i="40"/>
  <c r="F164" i="40"/>
  <c r="D164" i="40"/>
  <c r="C163" i="40"/>
  <c r="E163" i="40"/>
  <c r="G163" i="40"/>
  <c r="B163" i="40"/>
  <c r="F163" i="40"/>
  <c r="D163" i="40"/>
  <c r="C162" i="40"/>
  <c r="E162" i="40"/>
  <c r="G162" i="40"/>
  <c r="B162" i="40"/>
  <c r="F162" i="40"/>
  <c r="D162" i="40"/>
  <c r="C161" i="40"/>
  <c r="E161" i="40"/>
  <c r="G161" i="40"/>
  <c r="B161" i="40"/>
  <c r="F161" i="40"/>
  <c r="D161" i="40"/>
  <c r="C160" i="40"/>
  <c r="E160" i="40"/>
  <c r="G160" i="40"/>
  <c r="B160" i="40"/>
  <c r="F160" i="40"/>
  <c r="D160" i="40"/>
  <c r="C159" i="40"/>
  <c r="E159" i="40"/>
  <c r="G159" i="40"/>
  <c r="B159" i="40"/>
  <c r="F159" i="40"/>
  <c r="D159" i="40"/>
  <c r="C158" i="40"/>
  <c r="E158" i="40"/>
  <c r="G158" i="40"/>
  <c r="B158" i="40"/>
  <c r="F158" i="40"/>
  <c r="D158" i="40"/>
  <c r="C157" i="40"/>
  <c r="E157" i="40"/>
  <c r="G157" i="40"/>
  <c r="B157" i="40"/>
  <c r="F157" i="40"/>
  <c r="D157" i="40"/>
  <c r="C156" i="40"/>
  <c r="E156" i="40"/>
  <c r="G156" i="40"/>
  <c r="B156" i="40"/>
  <c r="F156" i="40"/>
  <c r="D156" i="40"/>
  <c r="C155" i="40"/>
  <c r="E155" i="40"/>
  <c r="G155" i="40"/>
  <c r="B155" i="40"/>
  <c r="F155" i="40"/>
  <c r="D155" i="40"/>
  <c r="C154" i="40"/>
  <c r="E154" i="40"/>
  <c r="G154" i="40"/>
  <c r="B154" i="40"/>
  <c r="F154" i="40"/>
  <c r="D154" i="40"/>
  <c r="C153" i="40"/>
  <c r="E153" i="40"/>
  <c r="G153" i="40"/>
  <c r="B153" i="40"/>
  <c r="F153" i="40"/>
  <c r="D153" i="40"/>
  <c r="C152" i="40"/>
  <c r="E152" i="40"/>
  <c r="G152" i="40"/>
  <c r="B152" i="40"/>
  <c r="F152" i="40"/>
  <c r="D152" i="40"/>
  <c r="C151" i="40"/>
  <c r="E151" i="40"/>
  <c r="G151" i="40"/>
  <c r="B151" i="40"/>
  <c r="F151" i="40"/>
  <c r="D151" i="40"/>
  <c r="E150" i="40"/>
  <c r="G150" i="40"/>
  <c r="B150" i="40"/>
  <c r="F150" i="40"/>
  <c r="D28" i="26"/>
  <c r="E28" i="26"/>
  <c r="G28" i="26"/>
  <c r="C149" i="40"/>
  <c r="E149" i="40"/>
  <c r="G149" i="40"/>
  <c r="H28" i="26"/>
  <c r="B149" i="40"/>
  <c r="F149" i="40"/>
  <c r="D149" i="40"/>
  <c r="D27" i="26"/>
  <c r="E27" i="26"/>
  <c r="G27" i="26"/>
  <c r="C148" i="40"/>
  <c r="E148" i="40"/>
  <c r="G148" i="40"/>
  <c r="H27" i="26"/>
  <c r="B148" i="40"/>
  <c r="F148" i="40"/>
  <c r="D148" i="40"/>
  <c r="D26" i="26"/>
  <c r="E26" i="26"/>
  <c r="G26" i="26"/>
  <c r="C147" i="40"/>
  <c r="E147" i="40"/>
  <c r="G147" i="40"/>
  <c r="H26" i="26"/>
  <c r="B147" i="40"/>
  <c r="F147" i="40"/>
  <c r="D147" i="40"/>
  <c r="D25" i="26"/>
  <c r="E25" i="26"/>
  <c r="G25" i="26"/>
  <c r="C146" i="40"/>
  <c r="E146" i="40"/>
  <c r="G146" i="40"/>
  <c r="H25" i="26"/>
  <c r="B146" i="40"/>
  <c r="F146" i="40"/>
  <c r="D146" i="40"/>
  <c r="D24" i="26"/>
  <c r="E24" i="26"/>
  <c r="G24" i="26"/>
  <c r="C145" i="40"/>
  <c r="E145" i="40"/>
  <c r="G145" i="40"/>
  <c r="H24" i="26"/>
  <c r="B145" i="40"/>
  <c r="F145" i="40"/>
  <c r="D145" i="40"/>
  <c r="D23" i="26"/>
  <c r="E23" i="26"/>
  <c r="G23" i="26"/>
  <c r="C144" i="40"/>
  <c r="E144" i="40"/>
  <c r="G144" i="40"/>
  <c r="H23" i="26"/>
  <c r="B144" i="40"/>
  <c r="F144" i="40"/>
  <c r="D144" i="40"/>
  <c r="D22" i="26"/>
  <c r="E22" i="26"/>
  <c r="G22" i="26"/>
  <c r="C143" i="40"/>
  <c r="E143" i="40"/>
  <c r="G143" i="40"/>
  <c r="H22" i="26"/>
  <c r="B143" i="40"/>
  <c r="F143" i="40"/>
  <c r="D143" i="40"/>
  <c r="D21" i="26"/>
  <c r="E21" i="26"/>
  <c r="G21" i="26"/>
  <c r="C142" i="40"/>
  <c r="E142" i="40"/>
  <c r="G142" i="40"/>
  <c r="H21" i="26"/>
  <c r="B142" i="40"/>
  <c r="F142" i="40"/>
  <c r="D142" i="40"/>
  <c r="D20" i="26"/>
  <c r="E20" i="26"/>
  <c r="G20" i="26"/>
  <c r="C141" i="40"/>
  <c r="E141" i="40"/>
  <c r="G141" i="40"/>
  <c r="H20" i="26"/>
  <c r="B141" i="40"/>
  <c r="F141" i="40"/>
  <c r="D141" i="40"/>
  <c r="D19" i="26"/>
  <c r="E19" i="26"/>
  <c r="G19" i="26"/>
  <c r="C140" i="40"/>
  <c r="E140" i="40"/>
  <c r="G140" i="40"/>
  <c r="H19" i="26"/>
  <c r="B140" i="40"/>
  <c r="F140" i="40"/>
  <c r="D140" i="40"/>
  <c r="D18" i="26"/>
  <c r="E18" i="26"/>
  <c r="G18" i="26"/>
  <c r="C139" i="40"/>
  <c r="E139" i="40"/>
  <c r="G139" i="40"/>
  <c r="H18" i="26"/>
  <c r="B139" i="40"/>
  <c r="F139" i="40"/>
  <c r="D139" i="40"/>
  <c r="D17" i="26"/>
  <c r="E17" i="26"/>
  <c r="G17" i="26"/>
  <c r="C138" i="40"/>
  <c r="E138" i="40"/>
  <c r="G138" i="40"/>
  <c r="B138" i="40"/>
  <c r="F138" i="40"/>
  <c r="D138" i="40"/>
  <c r="D16" i="26"/>
  <c r="E16" i="26"/>
  <c r="G16" i="26"/>
  <c r="C137" i="40"/>
  <c r="E137" i="40"/>
  <c r="G137" i="40"/>
  <c r="H16" i="26"/>
  <c r="B137" i="40"/>
  <c r="F137" i="40"/>
  <c r="D137" i="40"/>
  <c r="D15" i="26"/>
  <c r="E15" i="26"/>
  <c r="G15" i="26"/>
  <c r="C136" i="40"/>
  <c r="E136" i="40"/>
  <c r="G136" i="40"/>
  <c r="H15" i="26"/>
  <c r="B136" i="40"/>
  <c r="F136" i="40"/>
  <c r="D136" i="40"/>
  <c r="D14" i="26"/>
  <c r="E14" i="26"/>
  <c r="G14" i="26"/>
  <c r="C135" i="40"/>
  <c r="E135" i="40"/>
  <c r="G135" i="40"/>
  <c r="H14" i="26"/>
  <c r="B135" i="40"/>
  <c r="F135" i="40"/>
  <c r="D135" i="40"/>
  <c r="D13" i="26"/>
  <c r="E13" i="26"/>
  <c r="G13" i="26"/>
  <c r="C134" i="40"/>
  <c r="E134" i="40"/>
  <c r="G134" i="40"/>
  <c r="H13" i="26"/>
  <c r="B134" i="40"/>
  <c r="F134" i="40"/>
  <c r="D134" i="40"/>
  <c r="D12" i="26"/>
  <c r="E12" i="26"/>
  <c r="G12" i="26"/>
  <c r="C133" i="40"/>
  <c r="E133" i="40"/>
  <c r="G133" i="40"/>
  <c r="H12" i="26"/>
  <c r="B133" i="40"/>
  <c r="F133" i="40"/>
  <c r="D133" i="40"/>
  <c r="D11" i="26"/>
  <c r="E11" i="26"/>
  <c r="G11" i="26"/>
  <c r="C132" i="40"/>
  <c r="E132" i="40"/>
  <c r="G132" i="40"/>
  <c r="H11" i="26"/>
  <c r="B132" i="40"/>
  <c r="F132" i="40"/>
  <c r="D132" i="40"/>
  <c r="D10" i="26"/>
  <c r="E10" i="26"/>
  <c r="G10" i="26"/>
  <c r="C131" i="40"/>
  <c r="E131" i="40"/>
  <c r="G131" i="40"/>
  <c r="H10" i="26"/>
  <c r="B131" i="40"/>
  <c r="F131" i="40"/>
  <c r="D131" i="40"/>
  <c r="D9" i="26"/>
  <c r="E9" i="26"/>
  <c r="G9" i="26"/>
  <c r="C130" i="40"/>
  <c r="E130" i="40"/>
  <c r="G130" i="40"/>
  <c r="H9" i="26"/>
  <c r="B130" i="40"/>
  <c r="F130" i="40"/>
  <c r="D130" i="40"/>
  <c r="H69" i="22"/>
  <c r="L69" i="22"/>
  <c r="W69" i="22"/>
  <c r="X69" i="22"/>
  <c r="AB69" i="22"/>
  <c r="AD69" i="22"/>
  <c r="AG69" i="22"/>
  <c r="C18" i="33"/>
  <c r="D18" i="33"/>
  <c r="D11" i="33"/>
  <c r="D26" i="33"/>
  <c r="E18" i="33"/>
  <c r="F18" i="33"/>
  <c r="D9" i="28"/>
  <c r="H11" i="33"/>
  <c r="H42" i="23"/>
  <c r="L42" i="23"/>
  <c r="S42" i="23"/>
  <c r="X42" i="23"/>
  <c r="Z42" i="23"/>
  <c r="AC42" i="23"/>
  <c r="C11" i="33"/>
  <c r="C26" i="33"/>
  <c r="H18" i="33"/>
  <c r="I18" i="33"/>
  <c r="L11" i="33"/>
  <c r="L18" i="33"/>
  <c r="M18" i="33"/>
  <c r="E45" i="11"/>
  <c r="F45" i="11"/>
  <c r="J18" i="33"/>
  <c r="N18" i="33"/>
  <c r="L38" i="38"/>
  <c r="E17" i="25"/>
  <c r="H28" i="21"/>
  <c r="B38" i="38"/>
  <c r="E38" i="38"/>
  <c r="G45" i="11"/>
  <c r="G38" i="38"/>
  <c r="D39" i="24"/>
  <c r="D9" i="24"/>
  <c r="E39" i="24"/>
  <c r="F39" i="24"/>
  <c r="G39" i="24"/>
  <c r="H38" i="38"/>
  <c r="I38" i="38"/>
  <c r="J38" i="38"/>
  <c r="H79" i="22"/>
  <c r="L79" i="22"/>
  <c r="W79" i="22"/>
  <c r="X79" i="22"/>
  <c r="AB79" i="22"/>
  <c r="AD79" i="22"/>
  <c r="AG79" i="22"/>
  <c r="C19" i="33"/>
  <c r="D19" i="33"/>
  <c r="E12" i="33"/>
  <c r="D12" i="33"/>
  <c r="D27" i="33"/>
  <c r="E19" i="33"/>
  <c r="I19" i="33"/>
  <c r="L12" i="33"/>
  <c r="H52" i="23"/>
  <c r="L52" i="23"/>
  <c r="S52" i="23"/>
  <c r="X52" i="23"/>
  <c r="Z52" i="23"/>
  <c r="AC52" i="23"/>
  <c r="C12" i="33"/>
  <c r="C27" i="33"/>
  <c r="L19" i="33"/>
  <c r="M19" i="33"/>
  <c r="D15" i="12"/>
  <c r="J12" i="33"/>
  <c r="J19" i="33"/>
  <c r="N19" i="33"/>
  <c r="L48" i="38"/>
  <c r="D38" i="38"/>
  <c r="D39" i="38"/>
  <c r="D40" i="38"/>
  <c r="D41" i="38"/>
  <c r="D42" i="38"/>
  <c r="D43" i="38"/>
  <c r="D44" i="38"/>
  <c r="D45" i="38"/>
  <c r="D46" i="38"/>
  <c r="D47" i="38"/>
  <c r="D48" i="38"/>
  <c r="B48" i="38"/>
  <c r="E48" i="38"/>
  <c r="E15" i="12"/>
  <c r="G48" i="38"/>
  <c r="D49" i="24"/>
  <c r="E49" i="24"/>
  <c r="F49" i="24"/>
  <c r="G49" i="24"/>
  <c r="H48" i="38"/>
  <c r="I48" i="38"/>
  <c r="J48" i="38"/>
  <c r="J47" i="38"/>
  <c r="I47" i="38"/>
  <c r="D14" i="12"/>
  <c r="E14" i="12"/>
  <c r="G47" i="38"/>
  <c r="D48" i="24"/>
  <c r="E48" i="24"/>
  <c r="F48" i="24"/>
  <c r="G48" i="24"/>
  <c r="H47" i="38"/>
  <c r="K47" i="38"/>
  <c r="M47" i="38"/>
  <c r="B129" i="40"/>
  <c r="C126" i="34"/>
  <c r="I12" i="33"/>
  <c r="M12" i="33"/>
  <c r="N12" i="33"/>
  <c r="N27" i="33"/>
  <c r="B126" i="34"/>
  <c r="D126" i="34"/>
  <c r="E126" i="34"/>
  <c r="C125" i="34"/>
  <c r="F11" i="33"/>
  <c r="I11" i="33"/>
  <c r="M11" i="33"/>
  <c r="J11" i="33"/>
  <c r="N11" i="33"/>
  <c r="N26" i="33"/>
  <c r="B116" i="34"/>
  <c r="C116" i="34"/>
  <c r="D116" i="34"/>
  <c r="D125" i="34"/>
  <c r="E125" i="34"/>
  <c r="D129" i="40"/>
  <c r="C129" i="40"/>
  <c r="E129" i="40"/>
  <c r="G129" i="40"/>
  <c r="F129" i="40"/>
  <c r="J46" i="38"/>
  <c r="I46" i="38"/>
  <c r="D13" i="12"/>
  <c r="E13" i="12"/>
  <c r="G46" i="38"/>
  <c r="D47" i="24"/>
  <c r="E47" i="24"/>
  <c r="F47" i="24"/>
  <c r="G47" i="24"/>
  <c r="H46" i="38"/>
  <c r="K46" i="38"/>
  <c r="M46" i="38"/>
  <c r="B128" i="40"/>
  <c r="C124" i="34"/>
  <c r="D124" i="34"/>
  <c r="E124" i="34"/>
  <c r="D128" i="40"/>
  <c r="C128" i="40"/>
  <c r="E128" i="40"/>
  <c r="G128" i="40"/>
  <c r="F128" i="40"/>
  <c r="J45" i="38"/>
  <c r="I45" i="38"/>
  <c r="D12" i="12"/>
  <c r="E12" i="12"/>
  <c r="G45" i="38"/>
  <c r="D46" i="24"/>
  <c r="E46" i="24"/>
  <c r="F46" i="24"/>
  <c r="G46" i="24"/>
  <c r="H45" i="38"/>
  <c r="K45" i="38"/>
  <c r="M45" i="38"/>
  <c r="B127" i="40"/>
  <c r="C123" i="34"/>
  <c r="D123" i="34"/>
  <c r="E123" i="34"/>
  <c r="D127" i="40"/>
  <c r="C127" i="40"/>
  <c r="E127" i="40"/>
  <c r="G127" i="40"/>
  <c r="F127" i="40"/>
  <c r="J44" i="38"/>
  <c r="I44" i="38"/>
  <c r="D11" i="12"/>
  <c r="E11" i="12"/>
  <c r="G44" i="38"/>
  <c r="D45" i="24"/>
  <c r="E45" i="24"/>
  <c r="F45" i="24"/>
  <c r="G45" i="24"/>
  <c r="H44" i="38"/>
  <c r="K44" i="38"/>
  <c r="M44" i="38"/>
  <c r="B126" i="40"/>
  <c r="C122" i="34"/>
  <c r="D122" i="34"/>
  <c r="E122" i="34"/>
  <c r="D126" i="40"/>
  <c r="C126" i="40"/>
  <c r="E126" i="40"/>
  <c r="G126" i="40"/>
  <c r="F126" i="40"/>
  <c r="J43" i="38"/>
  <c r="I43" i="38"/>
  <c r="D10" i="12"/>
  <c r="E10" i="12"/>
  <c r="G43" i="38"/>
  <c r="D44" i="24"/>
  <c r="E44" i="24"/>
  <c r="F44" i="24"/>
  <c r="G44" i="24"/>
  <c r="H43" i="38"/>
  <c r="K43" i="38"/>
  <c r="M43" i="38"/>
  <c r="B125" i="40"/>
  <c r="C121" i="34"/>
  <c r="D121" i="34"/>
  <c r="E121" i="34"/>
  <c r="D125" i="40"/>
  <c r="C125" i="40"/>
  <c r="E125" i="40"/>
  <c r="G125" i="40"/>
  <c r="F125" i="40"/>
  <c r="J42" i="38"/>
  <c r="I42" i="38"/>
  <c r="D9" i="12"/>
  <c r="E9" i="12"/>
  <c r="G42" i="38"/>
  <c r="D43" i="24"/>
  <c r="E43" i="24"/>
  <c r="F43" i="24"/>
  <c r="G43" i="24"/>
  <c r="H42" i="38"/>
  <c r="K42" i="38"/>
  <c r="M42" i="38"/>
  <c r="B124" i="40"/>
  <c r="C120" i="34"/>
  <c r="D120" i="34"/>
  <c r="E120" i="34"/>
  <c r="D124" i="40"/>
  <c r="C124" i="40"/>
  <c r="E124" i="40"/>
  <c r="G124" i="40"/>
  <c r="F124" i="40"/>
  <c r="J41" i="38"/>
  <c r="I41" i="38"/>
  <c r="D8" i="12"/>
  <c r="E8" i="12"/>
  <c r="G41" i="38"/>
  <c r="D42" i="24"/>
  <c r="E42" i="24"/>
  <c r="F42" i="24"/>
  <c r="G42" i="24"/>
  <c r="H41" i="38"/>
  <c r="K41" i="38"/>
  <c r="M41" i="38"/>
  <c r="B123" i="40"/>
  <c r="C119" i="34"/>
  <c r="D119" i="34"/>
  <c r="E119" i="34"/>
  <c r="D123" i="40"/>
  <c r="C123" i="40"/>
  <c r="E123" i="40"/>
  <c r="G123" i="40"/>
  <c r="F123" i="40"/>
  <c r="J40" i="38"/>
  <c r="I40" i="38"/>
  <c r="D7" i="12"/>
  <c r="E7" i="12"/>
  <c r="G40" i="38"/>
  <c r="D41" i="24"/>
  <c r="E41" i="24"/>
  <c r="F41" i="24"/>
  <c r="G41" i="24"/>
  <c r="H40" i="38"/>
  <c r="K40" i="38"/>
  <c r="M40" i="38"/>
  <c r="B122" i="40"/>
  <c r="C118" i="34"/>
  <c r="D118" i="34"/>
  <c r="E118" i="34"/>
  <c r="D122" i="40"/>
  <c r="C122" i="40"/>
  <c r="E122" i="40"/>
  <c r="G122" i="40"/>
  <c r="F122" i="40"/>
  <c r="J39" i="38"/>
  <c r="I39" i="38"/>
  <c r="D6" i="12"/>
  <c r="E6" i="12"/>
  <c r="G39" i="38"/>
  <c r="D40" i="24"/>
  <c r="E40" i="24"/>
  <c r="F40" i="24"/>
  <c r="G40" i="24"/>
  <c r="H39" i="38"/>
  <c r="K39" i="38"/>
  <c r="M39" i="38"/>
  <c r="B121" i="40"/>
  <c r="C117" i="34"/>
  <c r="D117" i="34"/>
  <c r="E117" i="34"/>
  <c r="D121" i="40"/>
  <c r="C121" i="40"/>
  <c r="G121" i="40"/>
  <c r="F121" i="40"/>
  <c r="K38" i="38"/>
  <c r="M38" i="38"/>
  <c r="B120" i="40"/>
  <c r="E116" i="34"/>
  <c r="D120" i="40"/>
  <c r="C120" i="40"/>
  <c r="G120" i="40"/>
  <c r="F120" i="40"/>
  <c r="H59" i="22"/>
  <c r="L59" i="22"/>
  <c r="W59" i="22"/>
  <c r="X59" i="22"/>
  <c r="AB59" i="22"/>
  <c r="AD59" i="22"/>
  <c r="AG59" i="22"/>
  <c r="C17" i="33"/>
  <c r="D17" i="33"/>
  <c r="E10" i="33"/>
  <c r="D10" i="33"/>
  <c r="D25" i="33"/>
  <c r="E17" i="33"/>
  <c r="F17" i="33"/>
  <c r="D8" i="28"/>
  <c r="H10" i="33"/>
  <c r="H32" i="23"/>
  <c r="L32" i="23"/>
  <c r="S32" i="23"/>
  <c r="X32" i="23"/>
  <c r="Z32" i="23"/>
  <c r="AC32" i="23"/>
  <c r="C10" i="33"/>
  <c r="C25" i="33"/>
  <c r="H17" i="33"/>
  <c r="I17" i="33"/>
  <c r="L10" i="33"/>
  <c r="L17" i="33"/>
  <c r="M17" i="33"/>
  <c r="E35" i="11"/>
  <c r="F35" i="11"/>
  <c r="J17" i="33"/>
  <c r="N17" i="33"/>
  <c r="L28" i="38"/>
  <c r="E16" i="25"/>
  <c r="G28" i="21"/>
  <c r="B28" i="38"/>
  <c r="E28" i="38"/>
  <c r="G35" i="11"/>
  <c r="G28" i="38"/>
  <c r="D29" i="24"/>
  <c r="E29" i="24"/>
  <c r="F29" i="24"/>
  <c r="G29" i="24"/>
  <c r="H28" i="38"/>
  <c r="I28" i="38"/>
  <c r="J28" i="38"/>
  <c r="J37" i="38"/>
  <c r="I37" i="38"/>
  <c r="E44" i="11"/>
  <c r="F44" i="11"/>
  <c r="G44" i="11"/>
  <c r="G37" i="38"/>
  <c r="D38" i="24"/>
  <c r="E38" i="24"/>
  <c r="F38" i="24"/>
  <c r="G38" i="24"/>
  <c r="H37" i="38"/>
  <c r="K37" i="38"/>
  <c r="D28" i="38"/>
  <c r="C38" i="38"/>
  <c r="D29" i="38"/>
  <c r="D30" i="38"/>
  <c r="D31" i="38"/>
  <c r="D32" i="38"/>
  <c r="D33" i="38"/>
  <c r="D34" i="38"/>
  <c r="D35" i="38"/>
  <c r="D36" i="38"/>
  <c r="D37" i="38"/>
  <c r="M37" i="38"/>
  <c r="B119" i="40"/>
  <c r="C115" i="34"/>
  <c r="F10" i="33"/>
  <c r="I10" i="33"/>
  <c r="M10" i="33"/>
  <c r="J10" i="33"/>
  <c r="N10" i="33"/>
  <c r="N25" i="33"/>
  <c r="B106" i="34"/>
  <c r="C106" i="34"/>
  <c r="D106" i="34"/>
  <c r="D115" i="34"/>
  <c r="E115" i="34"/>
  <c r="D119" i="40"/>
  <c r="C119" i="40"/>
  <c r="G119" i="40"/>
  <c r="F119" i="40"/>
  <c r="J36" i="38"/>
  <c r="I36" i="38"/>
  <c r="E43" i="11"/>
  <c r="F43" i="11"/>
  <c r="G43" i="11"/>
  <c r="G36" i="38"/>
  <c r="D37" i="24"/>
  <c r="E37" i="24"/>
  <c r="F37" i="24"/>
  <c r="G37" i="24"/>
  <c r="H36" i="38"/>
  <c r="K36" i="38"/>
  <c r="M36" i="38"/>
  <c r="B118" i="40"/>
  <c r="C114" i="34"/>
  <c r="D114" i="34"/>
  <c r="E114" i="34"/>
  <c r="D118" i="40"/>
  <c r="C118" i="40"/>
  <c r="G118" i="40"/>
  <c r="F118" i="40"/>
  <c r="J35" i="38"/>
  <c r="I35" i="38"/>
  <c r="E42" i="11"/>
  <c r="F42" i="11"/>
  <c r="G42" i="11"/>
  <c r="G35" i="38"/>
  <c r="D36" i="24"/>
  <c r="E36" i="24"/>
  <c r="F36" i="24"/>
  <c r="G36" i="24"/>
  <c r="H35" i="38"/>
  <c r="K35" i="38"/>
  <c r="M35" i="38"/>
  <c r="B117" i="40"/>
  <c r="C113" i="34"/>
  <c r="D113" i="34"/>
  <c r="E113" i="34"/>
  <c r="D117" i="40"/>
  <c r="C117" i="40"/>
  <c r="G117" i="40"/>
  <c r="F117" i="40"/>
  <c r="J34" i="38"/>
  <c r="I34" i="38"/>
  <c r="E41" i="11"/>
  <c r="F41" i="11"/>
  <c r="G41" i="11"/>
  <c r="G34" i="38"/>
  <c r="D35" i="24"/>
  <c r="E35" i="24"/>
  <c r="F35" i="24"/>
  <c r="G35" i="24"/>
  <c r="H34" i="38"/>
  <c r="K34" i="38"/>
  <c r="M34" i="38"/>
  <c r="B116" i="40"/>
  <c r="C112" i="34"/>
  <c r="D112" i="34"/>
  <c r="E112" i="34"/>
  <c r="D116" i="40"/>
  <c r="C116" i="40"/>
  <c r="G116" i="40"/>
  <c r="F116" i="40"/>
  <c r="J33" i="38"/>
  <c r="I33" i="38"/>
  <c r="E40" i="11"/>
  <c r="F40" i="11"/>
  <c r="G40" i="11"/>
  <c r="G33" i="38"/>
  <c r="D34" i="24"/>
  <c r="E34" i="24"/>
  <c r="F34" i="24"/>
  <c r="G34" i="24"/>
  <c r="H33" i="38"/>
  <c r="K33" i="38"/>
  <c r="M33" i="38"/>
  <c r="B115" i="40"/>
  <c r="C111" i="34"/>
  <c r="D111" i="34"/>
  <c r="E111" i="34"/>
  <c r="D115" i="40"/>
  <c r="C115" i="40"/>
  <c r="G115" i="40"/>
  <c r="F115" i="40"/>
  <c r="J32" i="38"/>
  <c r="I32" i="38"/>
  <c r="E39" i="11"/>
  <c r="F39" i="11"/>
  <c r="G39" i="11"/>
  <c r="G32" i="38"/>
  <c r="D33" i="24"/>
  <c r="E33" i="24"/>
  <c r="F33" i="24"/>
  <c r="G33" i="24"/>
  <c r="H32" i="38"/>
  <c r="K32" i="38"/>
  <c r="M32" i="38"/>
  <c r="B114" i="40"/>
  <c r="C110" i="34"/>
  <c r="D110" i="34"/>
  <c r="E110" i="34"/>
  <c r="D114" i="40"/>
  <c r="C114" i="40"/>
  <c r="G114" i="40"/>
  <c r="F114" i="40"/>
  <c r="J31" i="38"/>
  <c r="I31" i="38"/>
  <c r="E38" i="11"/>
  <c r="F38" i="11"/>
  <c r="G38" i="11"/>
  <c r="G31" i="38"/>
  <c r="D32" i="24"/>
  <c r="E32" i="24"/>
  <c r="F32" i="24"/>
  <c r="G32" i="24"/>
  <c r="H31" i="38"/>
  <c r="K31" i="38"/>
  <c r="M31" i="38"/>
  <c r="B113" i="40"/>
  <c r="C109" i="34"/>
  <c r="D109" i="34"/>
  <c r="E109" i="34"/>
  <c r="D113" i="40"/>
  <c r="C113" i="40"/>
  <c r="G113" i="40"/>
  <c r="F113" i="40"/>
  <c r="J30" i="38"/>
  <c r="I30" i="38"/>
  <c r="E37" i="11"/>
  <c r="F37" i="11"/>
  <c r="G37" i="11"/>
  <c r="G30" i="38"/>
  <c r="D31" i="24"/>
  <c r="E31" i="24"/>
  <c r="F31" i="24"/>
  <c r="G31" i="24"/>
  <c r="H30" i="38"/>
  <c r="K30" i="38"/>
  <c r="M30" i="38"/>
  <c r="B112" i="40"/>
  <c r="C108" i="34"/>
  <c r="D108" i="34"/>
  <c r="E108" i="34"/>
  <c r="D112" i="40"/>
  <c r="C112" i="40"/>
  <c r="G112" i="40"/>
  <c r="F112" i="40"/>
  <c r="J29" i="38"/>
  <c r="I29" i="38"/>
  <c r="E36" i="11"/>
  <c r="F36" i="11"/>
  <c r="G36" i="11"/>
  <c r="G29" i="38"/>
  <c r="D30" i="24"/>
  <c r="E30" i="24"/>
  <c r="F30" i="24"/>
  <c r="G30" i="24"/>
  <c r="H29" i="38"/>
  <c r="K29" i="38"/>
  <c r="M29" i="38"/>
  <c r="B111" i="40"/>
  <c r="C107" i="34"/>
  <c r="D107" i="34"/>
  <c r="E107" i="34"/>
  <c r="D111" i="40"/>
  <c r="C111" i="40"/>
  <c r="G111" i="40"/>
  <c r="F111" i="40"/>
  <c r="K28" i="38"/>
  <c r="M28" i="38"/>
  <c r="B110" i="40"/>
  <c r="E106" i="34"/>
  <c r="D110" i="40"/>
  <c r="C110" i="40"/>
  <c r="G110" i="40"/>
  <c r="F110" i="40"/>
  <c r="H49" i="22"/>
  <c r="L49" i="22"/>
  <c r="W49" i="22"/>
  <c r="X49" i="22"/>
  <c r="AB49" i="22"/>
  <c r="AD49" i="22"/>
  <c r="AG49" i="22"/>
  <c r="C16" i="33"/>
  <c r="D16" i="33"/>
  <c r="E9" i="33"/>
  <c r="D9" i="33"/>
  <c r="D24" i="33"/>
  <c r="E16" i="33"/>
  <c r="F16" i="33"/>
  <c r="D12" i="28"/>
  <c r="H9" i="33"/>
  <c r="H22" i="23"/>
  <c r="L22" i="23"/>
  <c r="S22" i="23"/>
  <c r="X22" i="23"/>
  <c r="Z22" i="23"/>
  <c r="AC22" i="23"/>
  <c r="C9" i="33"/>
  <c r="C24" i="33"/>
  <c r="H16" i="33"/>
  <c r="I16" i="33"/>
  <c r="L9" i="33"/>
  <c r="L16" i="33"/>
  <c r="M16" i="33"/>
  <c r="E25" i="11"/>
  <c r="F25" i="11"/>
  <c r="J16" i="33"/>
  <c r="N16" i="33"/>
  <c r="L18" i="38"/>
  <c r="E15" i="25"/>
  <c r="F28" i="21"/>
  <c r="B18" i="38"/>
  <c r="E18" i="38"/>
  <c r="G25" i="11"/>
  <c r="G18" i="38"/>
  <c r="D19" i="24"/>
  <c r="E19" i="24"/>
  <c r="F19" i="24"/>
  <c r="G19" i="24"/>
  <c r="H18" i="38"/>
  <c r="I18" i="38"/>
  <c r="J18" i="38"/>
  <c r="J27" i="38"/>
  <c r="I27" i="38"/>
  <c r="E34" i="11"/>
  <c r="F34" i="11"/>
  <c r="G34" i="11"/>
  <c r="G27" i="38"/>
  <c r="D28" i="24"/>
  <c r="E28" i="24"/>
  <c r="F28" i="24"/>
  <c r="G28" i="24"/>
  <c r="H27" i="38"/>
  <c r="K27" i="38"/>
  <c r="D18" i="38"/>
  <c r="C28" i="38"/>
  <c r="D19" i="38"/>
  <c r="D20" i="38"/>
  <c r="D21" i="38"/>
  <c r="D22" i="38"/>
  <c r="D23" i="38"/>
  <c r="D24" i="38"/>
  <c r="D25" i="38"/>
  <c r="D26" i="38"/>
  <c r="D27" i="38"/>
  <c r="M27" i="38"/>
  <c r="B109" i="40"/>
  <c r="C105" i="34"/>
  <c r="F9" i="33"/>
  <c r="I9" i="33"/>
  <c r="M9" i="33"/>
  <c r="J9" i="33"/>
  <c r="N9" i="33"/>
  <c r="N24" i="33"/>
  <c r="B96" i="34"/>
  <c r="C96" i="34"/>
  <c r="D96" i="34"/>
  <c r="D105" i="34"/>
  <c r="E105" i="34"/>
  <c r="D109" i="40"/>
  <c r="C109" i="40"/>
  <c r="G109" i="40"/>
  <c r="F109" i="40"/>
  <c r="J26" i="38"/>
  <c r="I26" i="38"/>
  <c r="E33" i="11"/>
  <c r="F33" i="11"/>
  <c r="G33" i="11"/>
  <c r="G26" i="38"/>
  <c r="D27" i="24"/>
  <c r="E27" i="24"/>
  <c r="F27" i="24"/>
  <c r="G27" i="24"/>
  <c r="H26" i="38"/>
  <c r="K26" i="38"/>
  <c r="M26" i="38"/>
  <c r="B108" i="40"/>
  <c r="C104" i="34"/>
  <c r="D104" i="34"/>
  <c r="E104" i="34"/>
  <c r="D108" i="40"/>
  <c r="C108" i="40"/>
  <c r="G108" i="40"/>
  <c r="F108" i="40"/>
  <c r="J25" i="38"/>
  <c r="I25" i="38"/>
  <c r="E32" i="11"/>
  <c r="F32" i="11"/>
  <c r="G32" i="11"/>
  <c r="G25" i="38"/>
  <c r="D26" i="24"/>
  <c r="E26" i="24"/>
  <c r="F26" i="24"/>
  <c r="G26" i="24"/>
  <c r="H25" i="38"/>
  <c r="K25" i="38"/>
  <c r="M25" i="38"/>
  <c r="B107" i="40"/>
  <c r="C103" i="34"/>
  <c r="D103" i="34"/>
  <c r="E103" i="34"/>
  <c r="D107" i="40"/>
  <c r="C107" i="40"/>
  <c r="G107" i="40"/>
  <c r="F107" i="40"/>
  <c r="J24" i="38"/>
  <c r="I24" i="38"/>
  <c r="E31" i="11"/>
  <c r="F31" i="11"/>
  <c r="G31" i="11"/>
  <c r="G24" i="38"/>
  <c r="D25" i="24"/>
  <c r="E25" i="24"/>
  <c r="F25" i="24"/>
  <c r="G25" i="24"/>
  <c r="H24" i="38"/>
  <c r="K24" i="38"/>
  <c r="M24" i="38"/>
  <c r="B106" i="40"/>
  <c r="C102" i="34"/>
  <c r="D102" i="34"/>
  <c r="E102" i="34"/>
  <c r="D106" i="40"/>
  <c r="C106" i="40"/>
  <c r="G106" i="40"/>
  <c r="F106" i="40"/>
  <c r="J23" i="38"/>
  <c r="I23" i="38"/>
  <c r="E30" i="11"/>
  <c r="F30" i="11"/>
  <c r="G30" i="11"/>
  <c r="G23" i="38"/>
  <c r="D24" i="24"/>
  <c r="E24" i="24"/>
  <c r="F24" i="24"/>
  <c r="G24" i="24"/>
  <c r="H23" i="38"/>
  <c r="K23" i="38"/>
  <c r="M23" i="38"/>
  <c r="B105" i="40"/>
  <c r="C101" i="34"/>
  <c r="D101" i="34"/>
  <c r="E101" i="34"/>
  <c r="D105" i="40"/>
  <c r="C105" i="40"/>
  <c r="G105" i="40"/>
  <c r="F105" i="40"/>
  <c r="J22" i="38"/>
  <c r="I22" i="38"/>
  <c r="E29" i="11"/>
  <c r="F29" i="11"/>
  <c r="G29" i="11"/>
  <c r="G22" i="38"/>
  <c r="D23" i="24"/>
  <c r="E23" i="24"/>
  <c r="F23" i="24"/>
  <c r="G23" i="24"/>
  <c r="H22" i="38"/>
  <c r="K22" i="38"/>
  <c r="M22" i="38"/>
  <c r="B104" i="40"/>
  <c r="C100" i="34"/>
  <c r="D100" i="34"/>
  <c r="E100" i="34"/>
  <c r="D104" i="40"/>
  <c r="C104" i="40"/>
  <c r="G104" i="40"/>
  <c r="F104" i="40"/>
  <c r="J21" i="38"/>
  <c r="I21" i="38"/>
  <c r="E28" i="11"/>
  <c r="F28" i="11"/>
  <c r="G28" i="11"/>
  <c r="G21" i="38"/>
  <c r="D22" i="24"/>
  <c r="E22" i="24"/>
  <c r="F22" i="24"/>
  <c r="G22" i="24"/>
  <c r="H21" i="38"/>
  <c r="K21" i="38"/>
  <c r="M21" i="38"/>
  <c r="B103" i="40"/>
  <c r="C99" i="34"/>
  <c r="D99" i="34"/>
  <c r="E99" i="34"/>
  <c r="D103" i="40"/>
  <c r="C103" i="40"/>
  <c r="G103" i="40"/>
  <c r="F103" i="40"/>
  <c r="J20" i="38"/>
  <c r="I20" i="38"/>
  <c r="E27" i="11"/>
  <c r="F27" i="11"/>
  <c r="G27" i="11"/>
  <c r="G20" i="38"/>
  <c r="D21" i="24"/>
  <c r="E21" i="24"/>
  <c r="F21" i="24"/>
  <c r="G21" i="24"/>
  <c r="H20" i="38"/>
  <c r="K20" i="38"/>
  <c r="M20" i="38"/>
  <c r="B102" i="40"/>
  <c r="C98" i="34"/>
  <c r="D98" i="34"/>
  <c r="E98" i="34"/>
  <c r="D102" i="40"/>
  <c r="C102" i="40"/>
  <c r="G102" i="40"/>
  <c r="F102" i="40"/>
  <c r="J19" i="38"/>
  <c r="I19" i="38"/>
  <c r="E26" i="11"/>
  <c r="F26" i="11"/>
  <c r="G26" i="11"/>
  <c r="G19" i="38"/>
  <c r="D20" i="24"/>
  <c r="E20" i="24"/>
  <c r="F20" i="24"/>
  <c r="G20" i="24"/>
  <c r="H19" i="38"/>
  <c r="K19" i="38"/>
  <c r="M19" i="38"/>
  <c r="B101" i="40"/>
  <c r="C97" i="34"/>
  <c r="D97" i="34"/>
  <c r="E97" i="34"/>
  <c r="D101" i="40"/>
  <c r="C101" i="40"/>
  <c r="G101" i="40"/>
  <c r="F101" i="40"/>
  <c r="K18" i="38"/>
  <c r="M18" i="38"/>
  <c r="B100" i="40"/>
  <c r="E96" i="34"/>
  <c r="D100" i="40"/>
  <c r="C100" i="40"/>
  <c r="G100" i="40"/>
  <c r="F100" i="40"/>
  <c r="H39" i="22"/>
  <c r="L39" i="22"/>
  <c r="W39" i="22"/>
  <c r="X39" i="22"/>
  <c r="AB39" i="22"/>
  <c r="AD39" i="22"/>
  <c r="B15" i="33"/>
  <c r="H12" i="23"/>
  <c r="L12" i="23"/>
  <c r="S12" i="23"/>
  <c r="X12" i="23"/>
  <c r="Z12" i="23"/>
  <c r="H13" i="23"/>
  <c r="L13" i="23"/>
  <c r="S13" i="23"/>
  <c r="X13" i="23"/>
  <c r="Z13" i="23"/>
  <c r="H14" i="23"/>
  <c r="L14" i="23"/>
  <c r="S14" i="23"/>
  <c r="X14" i="23"/>
  <c r="Z14" i="23"/>
  <c r="H15" i="23"/>
  <c r="L15" i="23"/>
  <c r="S15" i="23"/>
  <c r="X15" i="23"/>
  <c r="Z15" i="23"/>
  <c r="H16" i="23"/>
  <c r="L16" i="23"/>
  <c r="S16" i="23"/>
  <c r="X16" i="23"/>
  <c r="Z16" i="23"/>
  <c r="H17" i="23"/>
  <c r="L17" i="23"/>
  <c r="S17" i="23"/>
  <c r="X17" i="23"/>
  <c r="Z17" i="23"/>
  <c r="H18" i="23"/>
  <c r="L18" i="23"/>
  <c r="S18" i="23"/>
  <c r="X18" i="23"/>
  <c r="Z18" i="23"/>
  <c r="H19" i="23"/>
  <c r="L19" i="23"/>
  <c r="S19" i="23"/>
  <c r="X19" i="23"/>
  <c r="Z19" i="23"/>
  <c r="H20" i="23"/>
  <c r="L20" i="23"/>
  <c r="S20" i="23"/>
  <c r="X20" i="23"/>
  <c r="Z20" i="23"/>
  <c r="H21" i="23"/>
  <c r="L21" i="23"/>
  <c r="S21" i="23"/>
  <c r="X21" i="23"/>
  <c r="Z21" i="23"/>
  <c r="F19" i="18"/>
  <c r="G19" i="18"/>
  <c r="C15" i="33"/>
  <c r="D15" i="33"/>
  <c r="E8" i="33"/>
  <c r="D8" i="33"/>
  <c r="D23" i="33"/>
  <c r="E15" i="33"/>
  <c r="F15" i="33"/>
  <c r="D11" i="28"/>
  <c r="H8" i="33"/>
  <c r="B8" i="33"/>
  <c r="C8" i="33"/>
  <c r="C23" i="33"/>
  <c r="H15" i="33"/>
  <c r="I15" i="33"/>
  <c r="D16" i="9"/>
  <c r="K8" i="33"/>
  <c r="E11" i="28"/>
  <c r="L8" i="33"/>
  <c r="L15" i="33"/>
  <c r="M15" i="33"/>
  <c r="E15" i="11"/>
  <c r="F15" i="11"/>
  <c r="J15" i="33"/>
  <c r="N15" i="33"/>
  <c r="L8" i="38"/>
  <c r="E14" i="25"/>
  <c r="E28" i="21"/>
  <c r="B8" i="38"/>
  <c r="E8" i="38"/>
  <c r="G15" i="11"/>
  <c r="G8" i="38"/>
  <c r="E9" i="24"/>
  <c r="F9" i="24"/>
  <c r="G9" i="24"/>
  <c r="H8" i="38"/>
  <c r="I8" i="38"/>
  <c r="J8" i="38"/>
  <c r="J17" i="38"/>
  <c r="I17" i="38"/>
  <c r="E24" i="11"/>
  <c r="F24" i="11"/>
  <c r="G24" i="11"/>
  <c r="G17" i="38"/>
  <c r="D18" i="24"/>
  <c r="E18" i="24"/>
  <c r="F18" i="24"/>
  <c r="G18" i="24"/>
  <c r="H17" i="38"/>
  <c r="K17" i="38"/>
  <c r="D8" i="38"/>
  <c r="C18" i="38"/>
  <c r="D9" i="38"/>
  <c r="D10" i="38"/>
  <c r="D11" i="38"/>
  <c r="D12" i="38"/>
  <c r="D13" i="38"/>
  <c r="D14" i="38"/>
  <c r="D15" i="38"/>
  <c r="D16" i="38"/>
  <c r="D17" i="38"/>
  <c r="M17" i="38"/>
  <c r="B99" i="40"/>
  <c r="C95" i="34"/>
  <c r="F8" i="33"/>
  <c r="I8" i="33"/>
  <c r="M8" i="33"/>
  <c r="J8" i="33"/>
  <c r="N8" i="33"/>
  <c r="N23" i="33"/>
  <c r="B86" i="34"/>
  <c r="C86" i="34"/>
  <c r="D86" i="34"/>
  <c r="D95" i="34"/>
  <c r="E95" i="34"/>
  <c r="D99" i="40"/>
  <c r="C99" i="40"/>
  <c r="G99" i="40"/>
  <c r="F99" i="40"/>
  <c r="J16" i="38"/>
  <c r="I16" i="38"/>
  <c r="E23" i="11"/>
  <c r="F23" i="11"/>
  <c r="G23" i="11"/>
  <c r="G16" i="38"/>
  <c r="D17" i="24"/>
  <c r="E17" i="24"/>
  <c r="F17" i="24"/>
  <c r="G17" i="24"/>
  <c r="H16" i="38"/>
  <c r="K16" i="38"/>
  <c r="M16" i="38"/>
  <c r="B98" i="40"/>
  <c r="C94" i="34"/>
  <c r="D94" i="34"/>
  <c r="E94" i="34"/>
  <c r="D98" i="40"/>
  <c r="C98" i="40"/>
  <c r="G98" i="40"/>
  <c r="F98" i="40"/>
  <c r="J15" i="38"/>
  <c r="I15" i="38"/>
  <c r="E22" i="11"/>
  <c r="F22" i="11"/>
  <c r="G22" i="11"/>
  <c r="G15" i="38"/>
  <c r="D16" i="24"/>
  <c r="E16" i="24"/>
  <c r="F16" i="24"/>
  <c r="G16" i="24"/>
  <c r="H15" i="38"/>
  <c r="K15" i="38"/>
  <c r="M15" i="38"/>
  <c r="B97" i="40"/>
  <c r="C93" i="34"/>
  <c r="D93" i="34"/>
  <c r="E93" i="34"/>
  <c r="D97" i="40"/>
  <c r="C97" i="40"/>
  <c r="G97" i="40"/>
  <c r="F97" i="40"/>
  <c r="J14" i="38"/>
  <c r="I14" i="38"/>
  <c r="E21" i="11"/>
  <c r="F21" i="11"/>
  <c r="G21" i="11"/>
  <c r="G14" i="38"/>
  <c r="D15" i="24"/>
  <c r="E15" i="24"/>
  <c r="F15" i="24"/>
  <c r="G15" i="24"/>
  <c r="H14" i="38"/>
  <c r="K14" i="38"/>
  <c r="M14" i="38"/>
  <c r="B96" i="40"/>
  <c r="C92" i="34"/>
  <c r="D92" i="34"/>
  <c r="E92" i="34"/>
  <c r="D96" i="40"/>
  <c r="C96" i="40"/>
  <c r="G96" i="40"/>
  <c r="F96" i="40"/>
  <c r="J13" i="38"/>
  <c r="I13" i="38"/>
  <c r="E20" i="11"/>
  <c r="F20" i="11"/>
  <c r="G20" i="11"/>
  <c r="G13" i="38"/>
  <c r="D14" i="24"/>
  <c r="E14" i="24"/>
  <c r="F14" i="24"/>
  <c r="G14" i="24"/>
  <c r="H13" i="38"/>
  <c r="K13" i="38"/>
  <c r="M13" i="38"/>
  <c r="B95" i="40"/>
  <c r="C91" i="34"/>
  <c r="D91" i="34"/>
  <c r="E91" i="34"/>
  <c r="D95" i="40"/>
  <c r="C95" i="40"/>
  <c r="G95" i="40"/>
  <c r="F95" i="40"/>
  <c r="J12" i="38"/>
  <c r="I12" i="38"/>
  <c r="E19" i="11"/>
  <c r="F19" i="11"/>
  <c r="G19" i="11"/>
  <c r="G12" i="38"/>
  <c r="D13" i="24"/>
  <c r="E13" i="24"/>
  <c r="F13" i="24"/>
  <c r="G13" i="24"/>
  <c r="H12" i="38"/>
  <c r="K12" i="38"/>
  <c r="M12" i="38"/>
  <c r="B94" i="40"/>
  <c r="C90" i="34"/>
  <c r="D90" i="34"/>
  <c r="E90" i="34"/>
  <c r="D94" i="40"/>
  <c r="C94" i="40"/>
  <c r="G94" i="40"/>
  <c r="F94" i="40"/>
  <c r="J11" i="38"/>
  <c r="I11" i="38"/>
  <c r="E18" i="11"/>
  <c r="F18" i="11"/>
  <c r="G18" i="11"/>
  <c r="G11" i="38"/>
  <c r="D12" i="24"/>
  <c r="E12" i="24"/>
  <c r="F12" i="24"/>
  <c r="G12" i="24"/>
  <c r="H11" i="38"/>
  <c r="K11" i="38"/>
  <c r="M11" i="38"/>
  <c r="B93" i="40"/>
  <c r="C89" i="34"/>
  <c r="D89" i="34"/>
  <c r="E89" i="34"/>
  <c r="D93" i="40"/>
  <c r="C93" i="40"/>
  <c r="G93" i="40"/>
  <c r="F93" i="40"/>
  <c r="J10" i="38"/>
  <c r="I10" i="38"/>
  <c r="E17" i="11"/>
  <c r="F17" i="11"/>
  <c r="G17" i="11"/>
  <c r="G10" i="38"/>
  <c r="D11" i="24"/>
  <c r="E11" i="24"/>
  <c r="F11" i="24"/>
  <c r="G11" i="24"/>
  <c r="H10" i="38"/>
  <c r="K10" i="38"/>
  <c r="M10" i="38"/>
  <c r="B92" i="40"/>
  <c r="C88" i="34"/>
  <c r="D88" i="34"/>
  <c r="E88" i="34"/>
  <c r="D92" i="40"/>
  <c r="C92" i="40"/>
  <c r="G92" i="40"/>
  <c r="F92" i="40"/>
  <c r="J9" i="38"/>
  <c r="I9" i="38"/>
  <c r="E16" i="11"/>
  <c r="F16" i="11"/>
  <c r="G16" i="11"/>
  <c r="G9" i="38"/>
  <c r="D10" i="24"/>
  <c r="E10" i="24"/>
  <c r="F10" i="24"/>
  <c r="G10" i="24"/>
  <c r="H9" i="38"/>
  <c r="K9" i="38"/>
  <c r="M9" i="38"/>
  <c r="B91" i="40"/>
  <c r="C87" i="34"/>
  <c r="D87" i="34"/>
  <c r="E87" i="34"/>
  <c r="D91" i="40"/>
  <c r="C91" i="40"/>
  <c r="G91" i="40"/>
  <c r="F91" i="40"/>
  <c r="K8" i="38"/>
  <c r="M8" i="38"/>
  <c r="B90" i="40"/>
  <c r="E86" i="34"/>
  <c r="D90" i="40"/>
  <c r="C90" i="40"/>
  <c r="G90" i="40"/>
  <c r="F90" i="40"/>
  <c r="F14" i="16"/>
  <c r="C13" i="35"/>
  <c r="H37" i="22"/>
  <c r="L37" i="22"/>
  <c r="W37" i="22"/>
  <c r="X37" i="22"/>
  <c r="AB37" i="22"/>
  <c r="AD37" i="22"/>
  <c r="B15" i="32"/>
  <c r="G17" i="18"/>
  <c r="C15" i="32"/>
  <c r="D15" i="32"/>
  <c r="E10" i="32"/>
  <c r="D10" i="28"/>
  <c r="F10" i="32"/>
  <c r="B10" i="32"/>
  <c r="B20" i="32"/>
  <c r="F15" i="32"/>
  <c r="G15" i="32"/>
  <c r="I10" i="32"/>
  <c r="E10" i="28"/>
  <c r="J10" i="32"/>
  <c r="K10" i="32"/>
  <c r="K15" i="32"/>
  <c r="L15" i="32"/>
  <c r="D49" i="10"/>
  <c r="E49" i="10"/>
  <c r="H15" i="32"/>
  <c r="M15" i="32"/>
  <c r="B13" i="35"/>
  <c r="D13" i="35"/>
  <c r="B69" i="37"/>
  <c r="C79" i="37"/>
  <c r="D70" i="37"/>
  <c r="D71" i="37"/>
  <c r="D72" i="37"/>
  <c r="D73" i="37"/>
  <c r="D74" i="37"/>
  <c r="D75" i="37"/>
  <c r="D76" i="37"/>
  <c r="D77" i="37"/>
  <c r="D78" i="37"/>
  <c r="K69" i="37"/>
  <c r="E69" i="37"/>
  <c r="C76" i="34"/>
  <c r="C10" i="32"/>
  <c r="D10" i="32"/>
  <c r="G10" i="32"/>
  <c r="L10" i="32"/>
  <c r="H10" i="32"/>
  <c r="M10" i="32"/>
  <c r="M20" i="32"/>
  <c r="B76" i="34"/>
  <c r="D76" i="34"/>
  <c r="E76" i="34"/>
  <c r="F69" i="37"/>
  <c r="F49" i="10"/>
  <c r="G69" i="37"/>
  <c r="C78" i="5"/>
  <c r="H69" i="37"/>
  <c r="I69" i="37"/>
  <c r="K79" i="37"/>
  <c r="E79" i="37"/>
  <c r="F79" i="37"/>
  <c r="G79" i="37"/>
  <c r="C88" i="5"/>
  <c r="H79" i="37"/>
  <c r="I79" i="37"/>
  <c r="I78" i="37"/>
  <c r="C87" i="5"/>
  <c r="H78" i="37"/>
  <c r="D15" i="9"/>
  <c r="C85" i="34"/>
  <c r="D85" i="34"/>
  <c r="E85" i="34"/>
  <c r="F78" i="37"/>
  <c r="E14" i="11"/>
  <c r="F14" i="11"/>
  <c r="G14" i="11"/>
  <c r="G78" i="37"/>
  <c r="J78" i="37"/>
  <c r="L78" i="37"/>
  <c r="B89" i="40"/>
  <c r="D89" i="40"/>
  <c r="C89" i="40"/>
  <c r="G89" i="40"/>
  <c r="F89" i="40"/>
  <c r="I77" i="37"/>
  <c r="C86" i="5"/>
  <c r="H77" i="37"/>
  <c r="D14" i="9"/>
  <c r="C84" i="34"/>
  <c r="D84" i="34"/>
  <c r="E84" i="34"/>
  <c r="F77" i="37"/>
  <c r="E13" i="11"/>
  <c r="F13" i="11"/>
  <c r="G13" i="11"/>
  <c r="G77" i="37"/>
  <c r="J77" i="37"/>
  <c r="L77" i="37"/>
  <c r="B88" i="40"/>
  <c r="D88" i="40"/>
  <c r="C88" i="40"/>
  <c r="G88" i="40"/>
  <c r="F88" i="40"/>
  <c r="I76" i="37"/>
  <c r="C85" i="5"/>
  <c r="H76" i="37"/>
  <c r="D13" i="9"/>
  <c r="C83" i="34"/>
  <c r="D83" i="34"/>
  <c r="E83" i="34"/>
  <c r="F76" i="37"/>
  <c r="E12" i="11"/>
  <c r="F12" i="11"/>
  <c r="G12" i="11"/>
  <c r="G76" i="37"/>
  <c r="J76" i="37"/>
  <c r="L76" i="37"/>
  <c r="B87" i="40"/>
  <c r="D87" i="40"/>
  <c r="C87" i="40"/>
  <c r="G87" i="40"/>
  <c r="F87" i="40"/>
  <c r="I75" i="37"/>
  <c r="C84" i="5"/>
  <c r="H75" i="37"/>
  <c r="D12" i="9"/>
  <c r="C82" i="34"/>
  <c r="D82" i="34"/>
  <c r="E82" i="34"/>
  <c r="F75" i="37"/>
  <c r="E11" i="11"/>
  <c r="F11" i="11"/>
  <c r="G11" i="11"/>
  <c r="G75" i="37"/>
  <c r="J75" i="37"/>
  <c r="L75" i="37"/>
  <c r="B86" i="40"/>
  <c r="D86" i="40"/>
  <c r="C86" i="40"/>
  <c r="G86" i="40"/>
  <c r="F86" i="40"/>
  <c r="I74" i="37"/>
  <c r="C83" i="5"/>
  <c r="H74" i="37"/>
  <c r="D11" i="9"/>
  <c r="C81" i="34"/>
  <c r="D81" i="34"/>
  <c r="E81" i="34"/>
  <c r="F74" i="37"/>
  <c r="E10" i="11"/>
  <c r="F10" i="11"/>
  <c r="G10" i="11"/>
  <c r="G74" i="37"/>
  <c r="J74" i="37"/>
  <c r="L74" i="37"/>
  <c r="B85" i="40"/>
  <c r="D85" i="40"/>
  <c r="C85" i="40"/>
  <c r="G85" i="40"/>
  <c r="F85" i="40"/>
  <c r="I73" i="37"/>
  <c r="C82" i="5"/>
  <c r="H73" i="37"/>
  <c r="D10" i="9"/>
  <c r="C80" i="34"/>
  <c r="D80" i="34"/>
  <c r="E80" i="34"/>
  <c r="F73" i="37"/>
  <c r="E9" i="11"/>
  <c r="F9" i="11"/>
  <c r="G9" i="11"/>
  <c r="G73" i="37"/>
  <c r="J73" i="37"/>
  <c r="L73" i="37"/>
  <c r="B84" i="40"/>
  <c r="D84" i="40"/>
  <c r="C84" i="40"/>
  <c r="G84" i="40"/>
  <c r="F84" i="40"/>
  <c r="I72" i="37"/>
  <c r="C81" i="5"/>
  <c r="H72" i="37"/>
  <c r="D9" i="9"/>
  <c r="C79" i="34"/>
  <c r="D79" i="34"/>
  <c r="E79" i="34"/>
  <c r="F72" i="37"/>
  <c r="E8" i="11"/>
  <c r="F8" i="11"/>
  <c r="G8" i="11"/>
  <c r="G72" i="37"/>
  <c r="J72" i="37"/>
  <c r="L72" i="37"/>
  <c r="B83" i="40"/>
  <c r="D83" i="40"/>
  <c r="C83" i="40"/>
  <c r="G83" i="40"/>
  <c r="F83" i="40"/>
  <c r="I71" i="37"/>
  <c r="C80" i="5"/>
  <c r="H71" i="37"/>
  <c r="D8" i="9"/>
  <c r="C78" i="34"/>
  <c r="D78" i="34"/>
  <c r="E78" i="34"/>
  <c r="F71" i="37"/>
  <c r="E7" i="11"/>
  <c r="F7" i="11"/>
  <c r="G7" i="11"/>
  <c r="G71" i="37"/>
  <c r="J71" i="37"/>
  <c r="L71" i="37"/>
  <c r="B82" i="40"/>
  <c r="D82" i="40"/>
  <c r="C82" i="40"/>
  <c r="G82" i="40"/>
  <c r="F82" i="40"/>
  <c r="I70" i="37"/>
  <c r="C79" i="5"/>
  <c r="H70" i="37"/>
  <c r="C77" i="34"/>
  <c r="D77" i="34"/>
  <c r="E77" i="34"/>
  <c r="F70" i="37"/>
  <c r="D50" i="10"/>
  <c r="E50" i="10"/>
  <c r="F50" i="10"/>
  <c r="G70" i="37"/>
  <c r="J70" i="37"/>
  <c r="L70" i="37"/>
  <c r="B81" i="40"/>
  <c r="D81" i="40"/>
  <c r="C81" i="40"/>
  <c r="G81" i="40"/>
  <c r="F81" i="40"/>
  <c r="D69" i="37"/>
  <c r="J69" i="37"/>
  <c r="L69" i="37"/>
  <c r="B80" i="40"/>
  <c r="D80" i="40"/>
  <c r="C80" i="40"/>
  <c r="G80" i="40"/>
  <c r="F80" i="40"/>
  <c r="F13" i="16"/>
  <c r="C12" i="35"/>
  <c r="H27" i="22"/>
  <c r="L27" i="22"/>
  <c r="W27" i="22"/>
  <c r="X27" i="22"/>
  <c r="AB27" i="22"/>
  <c r="AD27" i="22"/>
  <c r="B14" i="32"/>
  <c r="G15" i="18"/>
  <c r="G16" i="18"/>
  <c r="H16" i="18"/>
  <c r="C14" i="32"/>
  <c r="D14" i="32"/>
  <c r="E9" i="32"/>
  <c r="F9" i="32"/>
  <c r="B9" i="32"/>
  <c r="B19" i="32"/>
  <c r="F14" i="32"/>
  <c r="G14" i="32"/>
  <c r="I9" i="32"/>
  <c r="E9" i="28"/>
  <c r="J9" i="32"/>
  <c r="K9" i="32"/>
  <c r="K14" i="32"/>
  <c r="L14" i="32"/>
  <c r="D39" i="10"/>
  <c r="E39" i="10"/>
  <c r="H14" i="32"/>
  <c r="M14" i="32"/>
  <c r="B12" i="35"/>
  <c r="D12" i="35"/>
  <c r="B59" i="37"/>
  <c r="D59" i="37"/>
  <c r="C69" i="37"/>
  <c r="D60" i="37"/>
  <c r="D61" i="37"/>
  <c r="D62" i="37"/>
  <c r="D63" i="37"/>
  <c r="D64" i="37"/>
  <c r="D65" i="37"/>
  <c r="D66" i="37"/>
  <c r="D67" i="37"/>
  <c r="D68" i="37"/>
  <c r="K59" i="37"/>
  <c r="E59" i="37"/>
  <c r="C66" i="34"/>
  <c r="C9" i="32"/>
  <c r="D9" i="32"/>
  <c r="G9" i="32"/>
  <c r="L9" i="32"/>
  <c r="H9" i="32"/>
  <c r="M9" i="32"/>
  <c r="M19" i="32"/>
  <c r="B66" i="34"/>
  <c r="D66" i="34"/>
  <c r="E66" i="34"/>
  <c r="F59" i="37"/>
  <c r="F39" i="10"/>
  <c r="G59" i="37"/>
  <c r="C68" i="5"/>
  <c r="H59" i="37"/>
  <c r="I59" i="37"/>
  <c r="I68" i="37"/>
  <c r="C77" i="5"/>
  <c r="H68" i="37"/>
  <c r="C75" i="34"/>
  <c r="D75" i="34"/>
  <c r="E75" i="34"/>
  <c r="F68" i="37"/>
  <c r="D48" i="10"/>
  <c r="E48" i="10"/>
  <c r="F48" i="10"/>
  <c r="G68" i="37"/>
  <c r="J68" i="37"/>
  <c r="L68" i="37"/>
  <c r="B79" i="40"/>
  <c r="D79" i="40"/>
  <c r="C79" i="40"/>
  <c r="G79" i="40"/>
  <c r="F79" i="40"/>
  <c r="I67" i="37"/>
  <c r="C76" i="5"/>
  <c r="H67" i="37"/>
  <c r="C74" i="34"/>
  <c r="D74" i="34"/>
  <c r="E74" i="34"/>
  <c r="F67" i="37"/>
  <c r="D47" i="10"/>
  <c r="E47" i="10"/>
  <c r="F47" i="10"/>
  <c r="G67" i="37"/>
  <c r="J67" i="37"/>
  <c r="L67" i="37"/>
  <c r="B78" i="40"/>
  <c r="D78" i="40"/>
  <c r="C78" i="40"/>
  <c r="G78" i="40"/>
  <c r="F78" i="40"/>
  <c r="I66" i="37"/>
  <c r="C75" i="5"/>
  <c r="H66" i="37"/>
  <c r="C73" i="34"/>
  <c r="D73" i="34"/>
  <c r="E73" i="34"/>
  <c r="F66" i="37"/>
  <c r="D46" i="10"/>
  <c r="E46" i="10"/>
  <c r="F46" i="10"/>
  <c r="G66" i="37"/>
  <c r="J66" i="37"/>
  <c r="L66" i="37"/>
  <c r="B77" i="40"/>
  <c r="D77" i="40"/>
  <c r="C77" i="40"/>
  <c r="G77" i="40"/>
  <c r="F77" i="40"/>
  <c r="I65" i="37"/>
  <c r="C74" i="5"/>
  <c r="H65" i="37"/>
  <c r="C72" i="34"/>
  <c r="D72" i="34"/>
  <c r="E72" i="34"/>
  <c r="F65" i="37"/>
  <c r="D45" i="10"/>
  <c r="E45" i="10"/>
  <c r="F45" i="10"/>
  <c r="G65" i="37"/>
  <c r="J65" i="37"/>
  <c r="L65" i="37"/>
  <c r="B76" i="40"/>
  <c r="D76" i="40"/>
  <c r="C76" i="40"/>
  <c r="G76" i="40"/>
  <c r="F76" i="40"/>
  <c r="I64" i="37"/>
  <c r="C73" i="5"/>
  <c r="H64" i="37"/>
  <c r="C71" i="34"/>
  <c r="D71" i="34"/>
  <c r="E71" i="34"/>
  <c r="F64" i="37"/>
  <c r="D44" i="10"/>
  <c r="E44" i="10"/>
  <c r="F44" i="10"/>
  <c r="G64" i="37"/>
  <c r="J64" i="37"/>
  <c r="L64" i="37"/>
  <c r="B75" i="40"/>
  <c r="D75" i="40"/>
  <c r="C75" i="40"/>
  <c r="G75" i="40"/>
  <c r="F75" i="40"/>
  <c r="I63" i="37"/>
  <c r="C72" i="5"/>
  <c r="H63" i="37"/>
  <c r="C70" i="34"/>
  <c r="D70" i="34"/>
  <c r="E70" i="34"/>
  <c r="F63" i="37"/>
  <c r="D43" i="10"/>
  <c r="E43" i="10"/>
  <c r="F43" i="10"/>
  <c r="G63" i="37"/>
  <c r="J63" i="37"/>
  <c r="L63" i="37"/>
  <c r="B74" i="40"/>
  <c r="D74" i="40"/>
  <c r="C74" i="40"/>
  <c r="G74" i="40"/>
  <c r="F74" i="40"/>
  <c r="I62" i="37"/>
  <c r="C71" i="5"/>
  <c r="H62" i="37"/>
  <c r="C69" i="34"/>
  <c r="D69" i="34"/>
  <c r="E69" i="34"/>
  <c r="F62" i="37"/>
  <c r="D42" i="10"/>
  <c r="E42" i="10"/>
  <c r="F42" i="10"/>
  <c r="G62" i="37"/>
  <c r="J62" i="37"/>
  <c r="L62" i="37"/>
  <c r="B73" i="40"/>
  <c r="D73" i="40"/>
  <c r="C73" i="40"/>
  <c r="G73" i="40"/>
  <c r="F73" i="40"/>
  <c r="I61" i="37"/>
  <c r="C70" i="5"/>
  <c r="H61" i="37"/>
  <c r="C68" i="34"/>
  <c r="D68" i="34"/>
  <c r="E68" i="34"/>
  <c r="F61" i="37"/>
  <c r="D41" i="10"/>
  <c r="E41" i="10"/>
  <c r="F41" i="10"/>
  <c r="G61" i="37"/>
  <c r="J61" i="37"/>
  <c r="L61" i="37"/>
  <c r="B72" i="40"/>
  <c r="D72" i="40"/>
  <c r="C72" i="40"/>
  <c r="G72" i="40"/>
  <c r="F72" i="40"/>
  <c r="I60" i="37"/>
  <c r="C69" i="5"/>
  <c r="H60" i="37"/>
  <c r="C67" i="34"/>
  <c r="D67" i="34"/>
  <c r="E67" i="34"/>
  <c r="F60" i="37"/>
  <c r="D40" i="10"/>
  <c r="E40" i="10"/>
  <c r="F40" i="10"/>
  <c r="G60" i="37"/>
  <c r="J60" i="37"/>
  <c r="L60" i="37"/>
  <c r="B71" i="40"/>
  <c r="D71" i="40"/>
  <c r="C71" i="40"/>
  <c r="G71" i="40"/>
  <c r="F71" i="40"/>
  <c r="J59" i="37"/>
  <c r="L59" i="37"/>
  <c r="B70" i="40"/>
  <c r="D70" i="40"/>
  <c r="C70" i="40"/>
  <c r="G70" i="40"/>
  <c r="F70" i="40"/>
  <c r="F12" i="16"/>
  <c r="C11" i="35"/>
  <c r="H17" i="22"/>
  <c r="L17" i="22"/>
  <c r="W17" i="22"/>
  <c r="X17" i="22"/>
  <c r="AB17" i="22"/>
  <c r="AD17" i="22"/>
  <c r="B13" i="32"/>
  <c r="G13" i="18"/>
  <c r="G14" i="18"/>
  <c r="H14" i="18"/>
  <c r="C13" i="32"/>
  <c r="D13" i="32"/>
  <c r="E8" i="32"/>
  <c r="F8" i="32"/>
  <c r="B8" i="32"/>
  <c r="B18" i="32"/>
  <c r="F13" i="32"/>
  <c r="G13" i="32"/>
  <c r="I8" i="32"/>
  <c r="E8" i="28"/>
  <c r="J8" i="32"/>
  <c r="K8" i="32"/>
  <c r="K13" i="32"/>
  <c r="L13" i="32"/>
  <c r="D29" i="10"/>
  <c r="E29" i="10"/>
  <c r="H13" i="32"/>
  <c r="M13" i="32"/>
  <c r="B11" i="35"/>
  <c r="D11" i="35"/>
  <c r="B49" i="37"/>
  <c r="D49" i="37"/>
  <c r="C59" i="37"/>
  <c r="D50" i="37"/>
  <c r="D51" i="37"/>
  <c r="D52" i="37"/>
  <c r="D53" i="37"/>
  <c r="D54" i="37"/>
  <c r="D55" i="37"/>
  <c r="D56" i="37"/>
  <c r="D57" i="37"/>
  <c r="D58" i="37"/>
  <c r="K49" i="37"/>
  <c r="E49" i="37"/>
  <c r="C56" i="34"/>
  <c r="C8" i="32"/>
  <c r="D8" i="32"/>
  <c r="G8" i="32"/>
  <c r="L8" i="32"/>
  <c r="H8" i="32"/>
  <c r="M8" i="32"/>
  <c r="M18" i="32"/>
  <c r="B56" i="34"/>
  <c r="D56" i="34"/>
  <c r="E56" i="34"/>
  <c r="F49" i="37"/>
  <c r="F29" i="10"/>
  <c r="G49" i="37"/>
  <c r="C58" i="5"/>
  <c r="H49" i="37"/>
  <c r="I49" i="37"/>
  <c r="I58" i="37"/>
  <c r="C67" i="5"/>
  <c r="H58" i="37"/>
  <c r="C65" i="34"/>
  <c r="D65" i="34"/>
  <c r="E65" i="34"/>
  <c r="F58" i="37"/>
  <c r="D38" i="10"/>
  <c r="E38" i="10"/>
  <c r="F38" i="10"/>
  <c r="G58" i="37"/>
  <c r="J58" i="37"/>
  <c r="L58" i="37"/>
  <c r="B69" i="40"/>
  <c r="D69" i="40"/>
  <c r="C69" i="40"/>
  <c r="G69" i="40"/>
  <c r="F69" i="40"/>
  <c r="I57" i="37"/>
  <c r="C66" i="5"/>
  <c r="H57" i="37"/>
  <c r="C64" i="34"/>
  <c r="D64" i="34"/>
  <c r="E64" i="34"/>
  <c r="F57" i="37"/>
  <c r="D37" i="10"/>
  <c r="E37" i="10"/>
  <c r="F37" i="10"/>
  <c r="G57" i="37"/>
  <c r="J57" i="37"/>
  <c r="L57" i="37"/>
  <c r="B68" i="40"/>
  <c r="D68" i="40"/>
  <c r="C68" i="40"/>
  <c r="G68" i="40"/>
  <c r="F68" i="40"/>
  <c r="I56" i="37"/>
  <c r="C65" i="5"/>
  <c r="H56" i="37"/>
  <c r="C63" i="34"/>
  <c r="D63" i="34"/>
  <c r="E63" i="34"/>
  <c r="F56" i="37"/>
  <c r="D36" i="10"/>
  <c r="E36" i="10"/>
  <c r="F36" i="10"/>
  <c r="G56" i="37"/>
  <c r="J56" i="37"/>
  <c r="L56" i="37"/>
  <c r="B67" i="40"/>
  <c r="D67" i="40"/>
  <c r="C67" i="40"/>
  <c r="G67" i="40"/>
  <c r="F67" i="40"/>
  <c r="I55" i="37"/>
  <c r="C64" i="5"/>
  <c r="H55" i="37"/>
  <c r="C62" i="34"/>
  <c r="D62" i="34"/>
  <c r="E62" i="34"/>
  <c r="F55" i="37"/>
  <c r="D35" i="10"/>
  <c r="E35" i="10"/>
  <c r="F35" i="10"/>
  <c r="G55" i="37"/>
  <c r="J55" i="37"/>
  <c r="L55" i="37"/>
  <c r="B66" i="40"/>
  <c r="D66" i="40"/>
  <c r="C66" i="40"/>
  <c r="G66" i="40"/>
  <c r="F66" i="40"/>
  <c r="I54" i="37"/>
  <c r="C63" i="5"/>
  <c r="H54" i="37"/>
  <c r="C61" i="34"/>
  <c r="D61" i="34"/>
  <c r="E61" i="34"/>
  <c r="F54" i="37"/>
  <c r="D34" i="10"/>
  <c r="E34" i="10"/>
  <c r="F34" i="10"/>
  <c r="G54" i="37"/>
  <c r="J54" i="37"/>
  <c r="L54" i="37"/>
  <c r="B65" i="40"/>
  <c r="D65" i="40"/>
  <c r="C65" i="40"/>
  <c r="G65" i="40"/>
  <c r="F65" i="40"/>
  <c r="I53" i="37"/>
  <c r="C62" i="5"/>
  <c r="H53" i="37"/>
  <c r="C60" i="34"/>
  <c r="D60" i="34"/>
  <c r="E60" i="34"/>
  <c r="F53" i="37"/>
  <c r="D33" i="10"/>
  <c r="E33" i="10"/>
  <c r="F33" i="10"/>
  <c r="G53" i="37"/>
  <c r="J53" i="37"/>
  <c r="L53" i="37"/>
  <c r="B64" i="40"/>
  <c r="D64" i="40"/>
  <c r="C64" i="40"/>
  <c r="G64" i="40"/>
  <c r="F64" i="40"/>
  <c r="I52" i="37"/>
  <c r="C61" i="5"/>
  <c r="H52" i="37"/>
  <c r="C59" i="34"/>
  <c r="D59" i="34"/>
  <c r="E59" i="34"/>
  <c r="F52" i="37"/>
  <c r="D32" i="10"/>
  <c r="E32" i="10"/>
  <c r="F32" i="10"/>
  <c r="G52" i="37"/>
  <c r="J52" i="37"/>
  <c r="L52" i="37"/>
  <c r="B63" i="40"/>
  <c r="D63" i="40"/>
  <c r="C63" i="40"/>
  <c r="G63" i="40"/>
  <c r="F63" i="40"/>
  <c r="I51" i="37"/>
  <c r="C60" i="5"/>
  <c r="H51" i="37"/>
  <c r="C58" i="34"/>
  <c r="D58" i="34"/>
  <c r="E58" i="34"/>
  <c r="F51" i="37"/>
  <c r="D31" i="10"/>
  <c r="E31" i="10"/>
  <c r="F31" i="10"/>
  <c r="G51" i="37"/>
  <c r="J51" i="37"/>
  <c r="L51" i="37"/>
  <c r="B62" i="40"/>
  <c r="D62" i="40"/>
  <c r="C62" i="40"/>
  <c r="G62" i="40"/>
  <c r="F62" i="40"/>
  <c r="I50" i="37"/>
  <c r="C59" i="5"/>
  <c r="H50" i="37"/>
  <c r="C57" i="34"/>
  <c r="D57" i="34"/>
  <c r="E57" i="34"/>
  <c r="F50" i="37"/>
  <c r="D30" i="10"/>
  <c r="E30" i="10"/>
  <c r="F30" i="10"/>
  <c r="G50" i="37"/>
  <c r="J50" i="37"/>
  <c r="L50" i="37"/>
  <c r="B61" i="40"/>
  <c r="D61" i="40"/>
  <c r="C61" i="40"/>
  <c r="G61" i="40"/>
  <c r="F61" i="40"/>
  <c r="J49" i="37"/>
  <c r="L49" i="37"/>
  <c r="B60" i="40"/>
  <c r="D60" i="40"/>
  <c r="C60" i="40"/>
  <c r="G60" i="40"/>
  <c r="F60" i="40"/>
  <c r="F11" i="16"/>
  <c r="C10" i="35"/>
  <c r="B16" i="31"/>
  <c r="C16" i="31"/>
  <c r="C19" i="31"/>
  <c r="D16" i="31"/>
  <c r="E16" i="31"/>
  <c r="B10" i="35"/>
  <c r="D10" i="35"/>
  <c r="B39" i="37"/>
  <c r="D39" i="37"/>
  <c r="C49" i="37"/>
  <c r="D40" i="37"/>
  <c r="D41" i="37"/>
  <c r="D42" i="37"/>
  <c r="D43" i="37"/>
  <c r="D44" i="37"/>
  <c r="D45" i="37"/>
  <c r="D46" i="37"/>
  <c r="D47" i="37"/>
  <c r="D48" i="37"/>
  <c r="K39" i="37"/>
  <c r="E39" i="37"/>
  <c r="C46" i="34"/>
  <c r="B46" i="34"/>
  <c r="D46" i="34"/>
  <c r="E46" i="34"/>
  <c r="F39" i="37"/>
  <c r="D19" i="10"/>
  <c r="E19" i="10"/>
  <c r="F19" i="10"/>
  <c r="G39" i="37"/>
  <c r="C48" i="5"/>
  <c r="H39" i="37"/>
  <c r="I39" i="37"/>
  <c r="I48" i="37"/>
  <c r="C57" i="5"/>
  <c r="H48" i="37"/>
  <c r="C55" i="34"/>
  <c r="D55" i="34"/>
  <c r="E55" i="34"/>
  <c r="F48" i="37"/>
  <c r="D28" i="10"/>
  <c r="E28" i="10"/>
  <c r="F28" i="10"/>
  <c r="G48" i="37"/>
  <c r="J48" i="37"/>
  <c r="L48" i="37"/>
  <c r="B59" i="40"/>
  <c r="D59" i="40"/>
  <c r="C59" i="40"/>
  <c r="G59" i="40"/>
  <c r="F59" i="40"/>
  <c r="I47" i="37"/>
  <c r="C56" i="5"/>
  <c r="H47" i="37"/>
  <c r="C54" i="34"/>
  <c r="D54" i="34"/>
  <c r="E54" i="34"/>
  <c r="F47" i="37"/>
  <c r="D27" i="10"/>
  <c r="E27" i="10"/>
  <c r="F27" i="10"/>
  <c r="G47" i="37"/>
  <c r="J47" i="37"/>
  <c r="L47" i="37"/>
  <c r="B58" i="40"/>
  <c r="D58" i="40"/>
  <c r="C58" i="40"/>
  <c r="G58" i="40"/>
  <c r="F58" i="40"/>
  <c r="I46" i="37"/>
  <c r="C55" i="5"/>
  <c r="H46" i="37"/>
  <c r="C53" i="34"/>
  <c r="D53" i="34"/>
  <c r="E53" i="34"/>
  <c r="F46" i="37"/>
  <c r="D26" i="10"/>
  <c r="E26" i="10"/>
  <c r="F26" i="10"/>
  <c r="G46" i="37"/>
  <c r="J46" i="37"/>
  <c r="L46" i="37"/>
  <c r="B57" i="40"/>
  <c r="D57" i="40"/>
  <c r="C57" i="40"/>
  <c r="G57" i="40"/>
  <c r="F57" i="40"/>
  <c r="I45" i="37"/>
  <c r="C54" i="5"/>
  <c r="H45" i="37"/>
  <c r="C52" i="34"/>
  <c r="D52" i="34"/>
  <c r="E52" i="34"/>
  <c r="F45" i="37"/>
  <c r="D25" i="10"/>
  <c r="E25" i="10"/>
  <c r="F25" i="10"/>
  <c r="G45" i="37"/>
  <c r="J45" i="37"/>
  <c r="L45" i="37"/>
  <c r="B56" i="40"/>
  <c r="D56" i="40"/>
  <c r="C56" i="40"/>
  <c r="G56" i="40"/>
  <c r="F56" i="40"/>
  <c r="I44" i="37"/>
  <c r="C53" i="5"/>
  <c r="H44" i="37"/>
  <c r="C51" i="34"/>
  <c r="D51" i="34"/>
  <c r="E51" i="34"/>
  <c r="F44" i="37"/>
  <c r="D24" i="10"/>
  <c r="E24" i="10"/>
  <c r="F24" i="10"/>
  <c r="G44" i="37"/>
  <c r="J44" i="37"/>
  <c r="L44" i="37"/>
  <c r="B55" i="40"/>
  <c r="D55" i="40"/>
  <c r="C55" i="40"/>
  <c r="G55" i="40"/>
  <c r="F55" i="40"/>
  <c r="I43" i="37"/>
  <c r="C52" i="5"/>
  <c r="H43" i="37"/>
  <c r="C50" i="34"/>
  <c r="D50" i="34"/>
  <c r="E50" i="34"/>
  <c r="F43" i="37"/>
  <c r="D23" i="10"/>
  <c r="E23" i="10"/>
  <c r="F23" i="10"/>
  <c r="G43" i="37"/>
  <c r="J43" i="37"/>
  <c r="L43" i="37"/>
  <c r="B54" i="40"/>
  <c r="D54" i="40"/>
  <c r="C54" i="40"/>
  <c r="G54" i="40"/>
  <c r="F54" i="40"/>
  <c r="I42" i="37"/>
  <c r="C51" i="5"/>
  <c r="H42" i="37"/>
  <c r="C49" i="34"/>
  <c r="D49" i="34"/>
  <c r="E49" i="34"/>
  <c r="F42" i="37"/>
  <c r="D22" i="10"/>
  <c r="E22" i="10"/>
  <c r="F22" i="10"/>
  <c r="G42" i="37"/>
  <c r="J42" i="37"/>
  <c r="L42" i="37"/>
  <c r="B53" i="40"/>
  <c r="D53" i="40"/>
  <c r="C53" i="40"/>
  <c r="G53" i="40"/>
  <c r="F53" i="40"/>
  <c r="I41" i="37"/>
  <c r="C50" i="5"/>
  <c r="H41" i="37"/>
  <c r="C48" i="34"/>
  <c r="D48" i="34"/>
  <c r="E48" i="34"/>
  <c r="F41" i="37"/>
  <c r="D21" i="10"/>
  <c r="E21" i="10"/>
  <c r="F21" i="10"/>
  <c r="G41" i="37"/>
  <c r="J41" i="37"/>
  <c r="L41" i="37"/>
  <c r="B52" i="40"/>
  <c r="D52" i="40"/>
  <c r="C52" i="40"/>
  <c r="G52" i="40"/>
  <c r="F52" i="40"/>
  <c r="I40" i="37"/>
  <c r="C49" i="5"/>
  <c r="H40" i="37"/>
  <c r="C47" i="34"/>
  <c r="D47" i="34"/>
  <c r="E47" i="34"/>
  <c r="F40" i="37"/>
  <c r="D20" i="10"/>
  <c r="E20" i="10"/>
  <c r="F20" i="10"/>
  <c r="G40" i="37"/>
  <c r="J40" i="37"/>
  <c r="L40" i="37"/>
  <c r="B51" i="40"/>
  <c r="D51" i="40"/>
  <c r="C51" i="40"/>
  <c r="G51" i="40"/>
  <c r="F51" i="40"/>
  <c r="J39" i="37"/>
  <c r="L39" i="37"/>
  <c r="B50" i="40"/>
  <c r="D50" i="40"/>
  <c r="C50" i="40"/>
  <c r="G50" i="40"/>
  <c r="F50" i="40"/>
  <c r="F10" i="16"/>
  <c r="C9" i="35"/>
  <c r="B15" i="31"/>
  <c r="C15" i="31"/>
  <c r="D15" i="31"/>
  <c r="E15" i="31"/>
  <c r="B9" i="35"/>
  <c r="D9" i="35"/>
  <c r="B29" i="37"/>
  <c r="D29" i="37"/>
  <c r="C39" i="37"/>
  <c r="D30" i="37"/>
  <c r="D31" i="37"/>
  <c r="D32" i="37"/>
  <c r="D33" i="37"/>
  <c r="D34" i="37"/>
  <c r="D35" i="37"/>
  <c r="D36" i="37"/>
  <c r="D37" i="37"/>
  <c r="D38" i="37"/>
  <c r="K29" i="37"/>
  <c r="E29" i="37"/>
  <c r="C36" i="34"/>
  <c r="B36" i="34"/>
  <c r="D36" i="34"/>
  <c r="E36" i="34"/>
  <c r="F29" i="37"/>
  <c r="D10" i="10"/>
  <c r="E10" i="10"/>
  <c r="F10" i="10"/>
  <c r="G29" i="37"/>
  <c r="C38" i="5"/>
  <c r="H29" i="37"/>
  <c r="I29" i="37"/>
  <c r="I38" i="37"/>
  <c r="C47" i="5"/>
  <c r="H38" i="37"/>
  <c r="C45" i="34"/>
  <c r="D45" i="34"/>
  <c r="E45" i="34"/>
  <c r="F38" i="37"/>
  <c r="D18" i="10"/>
  <c r="E18" i="10"/>
  <c r="F18" i="10"/>
  <c r="G38" i="37"/>
  <c r="J38" i="37"/>
  <c r="L38" i="37"/>
  <c r="B49" i="40"/>
  <c r="D49" i="40"/>
  <c r="C49" i="40"/>
  <c r="G49" i="40"/>
  <c r="F49" i="40"/>
  <c r="I37" i="37"/>
  <c r="C46" i="5"/>
  <c r="H37" i="37"/>
  <c r="C44" i="34"/>
  <c r="D44" i="34"/>
  <c r="E44" i="34"/>
  <c r="F37" i="37"/>
  <c r="D17" i="10"/>
  <c r="E17" i="10"/>
  <c r="F17" i="10"/>
  <c r="G37" i="37"/>
  <c r="J37" i="37"/>
  <c r="L37" i="37"/>
  <c r="B48" i="40"/>
  <c r="D48" i="40"/>
  <c r="C48" i="40"/>
  <c r="G48" i="40"/>
  <c r="F48" i="40"/>
  <c r="I36" i="37"/>
  <c r="C45" i="5"/>
  <c r="H36" i="37"/>
  <c r="C43" i="34"/>
  <c r="D43" i="34"/>
  <c r="E43" i="34"/>
  <c r="F36" i="37"/>
  <c r="D16" i="10"/>
  <c r="E16" i="10"/>
  <c r="F16" i="10"/>
  <c r="G36" i="37"/>
  <c r="J36" i="37"/>
  <c r="L36" i="37"/>
  <c r="B47" i="40"/>
  <c r="D47" i="40"/>
  <c r="C47" i="40"/>
  <c r="G47" i="40"/>
  <c r="F47" i="40"/>
  <c r="I35" i="37"/>
  <c r="C44" i="5"/>
  <c r="H35" i="37"/>
  <c r="C42" i="34"/>
  <c r="D42" i="34"/>
  <c r="E42" i="34"/>
  <c r="F35" i="37"/>
  <c r="D15" i="10"/>
  <c r="E15" i="10"/>
  <c r="F15" i="10"/>
  <c r="G35" i="37"/>
  <c r="J35" i="37"/>
  <c r="L35" i="37"/>
  <c r="B46" i="40"/>
  <c r="D46" i="40"/>
  <c r="C46" i="40"/>
  <c r="G46" i="40"/>
  <c r="F46" i="40"/>
  <c r="I34" i="37"/>
  <c r="C43" i="5"/>
  <c r="H34" i="37"/>
  <c r="C41" i="34"/>
  <c r="D41" i="34"/>
  <c r="E41" i="34"/>
  <c r="F34" i="37"/>
  <c r="D14" i="10"/>
  <c r="E14" i="10"/>
  <c r="F14" i="10"/>
  <c r="G34" i="37"/>
  <c r="J34" i="37"/>
  <c r="L34" i="37"/>
  <c r="B45" i="40"/>
  <c r="D45" i="40"/>
  <c r="C45" i="40"/>
  <c r="G45" i="40"/>
  <c r="F45" i="40"/>
  <c r="I33" i="37"/>
  <c r="C42" i="5"/>
  <c r="H33" i="37"/>
  <c r="C40" i="34"/>
  <c r="D40" i="34"/>
  <c r="E40" i="34"/>
  <c r="F33" i="37"/>
  <c r="D13" i="10"/>
  <c r="E13" i="10"/>
  <c r="F13" i="10"/>
  <c r="G33" i="37"/>
  <c r="J33" i="37"/>
  <c r="L33" i="37"/>
  <c r="B44" i="40"/>
  <c r="D44" i="40"/>
  <c r="C44" i="40"/>
  <c r="G44" i="40"/>
  <c r="F44" i="40"/>
  <c r="I32" i="37"/>
  <c r="C41" i="5"/>
  <c r="H32" i="37"/>
  <c r="C39" i="34"/>
  <c r="D39" i="34"/>
  <c r="E39" i="34"/>
  <c r="F32" i="37"/>
  <c r="D12" i="10"/>
  <c r="E12" i="10"/>
  <c r="F12" i="10"/>
  <c r="G32" i="37"/>
  <c r="J32" i="37"/>
  <c r="L32" i="37"/>
  <c r="B43" i="40"/>
  <c r="D43" i="40"/>
  <c r="C43" i="40"/>
  <c r="G43" i="40"/>
  <c r="F43" i="40"/>
  <c r="I31" i="37"/>
  <c r="C40" i="5"/>
  <c r="H31" i="37"/>
  <c r="C38" i="34"/>
  <c r="D38" i="34"/>
  <c r="E38" i="34"/>
  <c r="F31" i="37"/>
  <c r="D11" i="10"/>
  <c r="E11" i="10"/>
  <c r="F11" i="10"/>
  <c r="G31" i="37"/>
  <c r="J31" i="37"/>
  <c r="L31" i="37"/>
  <c r="B42" i="40"/>
  <c r="D42" i="40"/>
  <c r="C42" i="40"/>
  <c r="G42" i="40"/>
  <c r="F42" i="40"/>
  <c r="I30" i="37"/>
  <c r="C39" i="5"/>
  <c r="H30" i="37"/>
  <c r="C37" i="34"/>
  <c r="D37" i="34"/>
  <c r="E37" i="34"/>
  <c r="F30" i="37"/>
  <c r="G30" i="37"/>
  <c r="J30" i="37"/>
  <c r="L30" i="37"/>
  <c r="B41" i="40"/>
  <c r="D41" i="40"/>
  <c r="C41" i="40"/>
  <c r="G41" i="40"/>
  <c r="F41" i="40"/>
  <c r="J29" i="37"/>
  <c r="L29" i="37"/>
  <c r="B40" i="40"/>
  <c r="D40" i="40"/>
  <c r="C40" i="40"/>
  <c r="G40" i="40"/>
  <c r="F40" i="40"/>
  <c r="F9" i="16"/>
  <c r="C8" i="35"/>
  <c r="B14" i="31"/>
  <c r="C14" i="31"/>
  <c r="D14" i="31"/>
  <c r="E14" i="31"/>
  <c r="B8" i="35"/>
  <c r="D8" i="35"/>
  <c r="B19" i="37"/>
  <c r="D19" i="37"/>
  <c r="C29" i="37"/>
  <c r="D20" i="37"/>
  <c r="D21" i="37"/>
  <c r="D22" i="37"/>
  <c r="D23" i="37"/>
  <c r="D24" i="37"/>
  <c r="D25" i="37"/>
  <c r="D26" i="37"/>
  <c r="D27" i="37"/>
  <c r="D28" i="37"/>
  <c r="K19" i="37"/>
  <c r="E19" i="37"/>
  <c r="C28" i="5"/>
  <c r="H19" i="37"/>
  <c r="I19" i="37"/>
  <c r="I28" i="37"/>
  <c r="C37" i="5"/>
  <c r="H28" i="37"/>
  <c r="C35" i="34"/>
  <c r="B26" i="34"/>
  <c r="C26" i="34"/>
  <c r="D26" i="34"/>
  <c r="D35" i="34"/>
  <c r="E35" i="34"/>
  <c r="F28" i="37"/>
  <c r="J28" i="37"/>
  <c r="L28" i="37"/>
  <c r="B39" i="40"/>
  <c r="D39" i="40"/>
  <c r="C39" i="40"/>
  <c r="G39" i="40"/>
  <c r="F39" i="40"/>
  <c r="I27" i="37"/>
  <c r="C36" i="5"/>
  <c r="H27" i="37"/>
  <c r="C34" i="34"/>
  <c r="D34" i="34"/>
  <c r="E34" i="34"/>
  <c r="F27" i="37"/>
  <c r="J27" i="37"/>
  <c r="L27" i="37"/>
  <c r="B38" i="40"/>
  <c r="D38" i="40"/>
  <c r="C38" i="40"/>
  <c r="G38" i="40"/>
  <c r="F38" i="40"/>
  <c r="I26" i="37"/>
  <c r="C35" i="5"/>
  <c r="H26" i="37"/>
  <c r="C33" i="34"/>
  <c r="D33" i="34"/>
  <c r="E33" i="34"/>
  <c r="F26" i="37"/>
  <c r="J26" i="37"/>
  <c r="L26" i="37"/>
  <c r="B37" i="40"/>
  <c r="D37" i="40"/>
  <c r="C37" i="40"/>
  <c r="G37" i="40"/>
  <c r="F37" i="40"/>
  <c r="I25" i="37"/>
  <c r="C34" i="5"/>
  <c r="H25" i="37"/>
  <c r="C32" i="34"/>
  <c r="D32" i="34"/>
  <c r="E32" i="34"/>
  <c r="F25" i="37"/>
  <c r="J25" i="37"/>
  <c r="L25" i="37"/>
  <c r="B36" i="40"/>
  <c r="D36" i="40"/>
  <c r="C36" i="40"/>
  <c r="G36" i="40"/>
  <c r="F36" i="40"/>
  <c r="I24" i="37"/>
  <c r="C33" i="5"/>
  <c r="H24" i="37"/>
  <c r="C31" i="34"/>
  <c r="D31" i="34"/>
  <c r="E31" i="34"/>
  <c r="F24" i="37"/>
  <c r="J24" i="37"/>
  <c r="L24" i="37"/>
  <c r="B35" i="40"/>
  <c r="D35" i="40"/>
  <c r="C35" i="40"/>
  <c r="G35" i="40"/>
  <c r="F35" i="40"/>
  <c r="I23" i="37"/>
  <c r="C32" i="5"/>
  <c r="H23" i="37"/>
  <c r="C30" i="34"/>
  <c r="D30" i="34"/>
  <c r="E30" i="34"/>
  <c r="F23" i="37"/>
  <c r="J23" i="37"/>
  <c r="L23" i="37"/>
  <c r="B34" i="40"/>
  <c r="D34" i="40"/>
  <c r="C34" i="40"/>
  <c r="G34" i="40"/>
  <c r="F34" i="40"/>
  <c r="I22" i="37"/>
  <c r="C31" i="5"/>
  <c r="H22" i="37"/>
  <c r="C29" i="34"/>
  <c r="D29" i="34"/>
  <c r="E29" i="34"/>
  <c r="F22" i="37"/>
  <c r="J22" i="37"/>
  <c r="L22" i="37"/>
  <c r="B33" i="40"/>
  <c r="D33" i="40"/>
  <c r="C33" i="40"/>
  <c r="G33" i="40"/>
  <c r="F33" i="40"/>
  <c r="I21" i="37"/>
  <c r="C30" i="5"/>
  <c r="H21" i="37"/>
  <c r="C28" i="34"/>
  <c r="D28" i="34"/>
  <c r="E28" i="34"/>
  <c r="F21" i="37"/>
  <c r="J21" i="37"/>
  <c r="L21" i="37"/>
  <c r="B32" i="40"/>
  <c r="D32" i="40"/>
  <c r="C32" i="40"/>
  <c r="G32" i="40"/>
  <c r="F32" i="40"/>
  <c r="I20" i="37"/>
  <c r="C29" i="5"/>
  <c r="H20" i="37"/>
  <c r="J20" i="37"/>
  <c r="L20" i="37"/>
  <c r="B31" i="40"/>
  <c r="C27" i="34"/>
  <c r="D27" i="34"/>
  <c r="E27" i="34"/>
  <c r="D31" i="40"/>
  <c r="C31" i="40"/>
  <c r="G31" i="40"/>
  <c r="F31" i="40"/>
  <c r="J19" i="37"/>
  <c r="L19" i="37"/>
  <c r="B30" i="40"/>
  <c r="E26" i="34"/>
  <c r="D30" i="40"/>
  <c r="C30" i="40"/>
  <c r="G30" i="40"/>
  <c r="F30" i="40"/>
  <c r="F8" i="16"/>
  <c r="C7" i="35"/>
  <c r="B13" i="31"/>
  <c r="C13" i="31"/>
  <c r="D13" i="31"/>
  <c r="E13" i="31"/>
  <c r="B7" i="35"/>
  <c r="D7" i="35"/>
  <c r="B9" i="37"/>
  <c r="D9" i="37"/>
  <c r="C19" i="37"/>
  <c r="D10" i="37"/>
  <c r="D11" i="37"/>
  <c r="D12" i="37"/>
  <c r="D13" i="37"/>
  <c r="D14" i="37"/>
  <c r="D15" i="37"/>
  <c r="D16" i="37"/>
  <c r="D17" i="37"/>
  <c r="D18" i="37"/>
  <c r="K9" i="37"/>
  <c r="E9" i="37"/>
  <c r="C18" i="5"/>
  <c r="H9" i="37"/>
  <c r="I9" i="37"/>
  <c r="I18" i="37"/>
  <c r="C27" i="5"/>
  <c r="H18" i="37"/>
  <c r="J18" i="37"/>
  <c r="L18" i="37"/>
  <c r="B29" i="40"/>
  <c r="C25" i="34"/>
  <c r="B16" i="34"/>
  <c r="C16" i="34"/>
  <c r="D16" i="34"/>
  <c r="D25" i="34"/>
  <c r="E25" i="34"/>
  <c r="D29" i="40"/>
  <c r="C29" i="40"/>
  <c r="G29" i="40"/>
  <c r="F29" i="40"/>
  <c r="I17" i="37"/>
  <c r="C26" i="5"/>
  <c r="H17" i="37"/>
  <c r="J17" i="37"/>
  <c r="L17" i="37"/>
  <c r="B28" i="40"/>
  <c r="C24" i="34"/>
  <c r="D24" i="34"/>
  <c r="E24" i="34"/>
  <c r="D28" i="40"/>
  <c r="C28" i="40"/>
  <c r="G28" i="40"/>
  <c r="F28" i="40"/>
  <c r="I16" i="37"/>
  <c r="C25" i="5"/>
  <c r="H16" i="37"/>
  <c r="J16" i="37"/>
  <c r="L16" i="37"/>
  <c r="B27" i="40"/>
  <c r="C23" i="34"/>
  <c r="D23" i="34"/>
  <c r="E23" i="34"/>
  <c r="D27" i="40"/>
  <c r="C27" i="40"/>
  <c r="G27" i="40"/>
  <c r="F27" i="40"/>
  <c r="I15" i="37"/>
  <c r="C24" i="5"/>
  <c r="H15" i="37"/>
  <c r="J15" i="37"/>
  <c r="L15" i="37"/>
  <c r="B26" i="40"/>
  <c r="C22" i="34"/>
  <c r="D22" i="34"/>
  <c r="E22" i="34"/>
  <c r="D26" i="40"/>
  <c r="C26" i="40"/>
  <c r="G26" i="40"/>
  <c r="F26" i="40"/>
  <c r="I14" i="37"/>
  <c r="C23" i="5"/>
  <c r="H14" i="37"/>
  <c r="J14" i="37"/>
  <c r="L14" i="37"/>
  <c r="B25" i="40"/>
  <c r="C21" i="34"/>
  <c r="D21" i="34"/>
  <c r="E21" i="34"/>
  <c r="D25" i="40"/>
  <c r="C25" i="40"/>
  <c r="G25" i="40"/>
  <c r="F25" i="40"/>
  <c r="I13" i="37"/>
  <c r="C22" i="5"/>
  <c r="H13" i="37"/>
  <c r="J13" i="37"/>
  <c r="L13" i="37"/>
  <c r="B24" i="40"/>
  <c r="C20" i="34"/>
  <c r="D20" i="34"/>
  <c r="E20" i="34"/>
  <c r="D24" i="40"/>
  <c r="C24" i="40"/>
  <c r="G24" i="40"/>
  <c r="F24" i="40"/>
  <c r="I12" i="37"/>
  <c r="C21" i="5"/>
  <c r="H12" i="37"/>
  <c r="J12" i="37"/>
  <c r="L12" i="37"/>
  <c r="B23" i="40"/>
  <c r="C19" i="34"/>
  <c r="D19" i="34"/>
  <c r="E19" i="34"/>
  <c r="D23" i="40"/>
  <c r="C23" i="40"/>
  <c r="G23" i="40"/>
  <c r="F23" i="40"/>
  <c r="I11" i="37"/>
  <c r="C20" i="5"/>
  <c r="H11" i="37"/>
  <c r="J11" i="37"/>
  <c r="L11" i="37"/>
  <c r="B22" i="40"/>
  <c r="C18" i="34"/>
  <c r="D18" i="34"/>
  <c r="E18" i="34"/>
  <c r="D22" i="40"/>
  <c r="C22" i="40"/>
  <c r="G22" i="40"/>
  <c r="F22" i="40"/>
  <c r="I10" i="37"/>
  <c r="C19" i="5"/>
  <c r="H10" i="37"/>
  <c r="J10" i="37"/>
  <c r="L10" i="37"/>
  <c r="B21" i="40"/>
  <c r="C17" i="34"/>
  <c r="D17" i="34"/>
  <c r="E17" i="34"/>
  <c r="D21" i="40"/>
  <c r="C21" i="40"/>
  <c r="G21" i="40"/>
  <c r="F21" i="40"/>
  <c r="B27" i="36"/>
  <c r="L27" i="36"/>
  <c r="M27" i="36"/>
  <c r="B20" i="40"/>
  <c r="E16" i="34"/>
  <c r="D20" i="40"/>
  <c r="C20" i="40"/>
  <c r="G20" i="40"/>
  <c r="F20" i="40"/>
  <c r="B12" i="31"/>
  <c r="C12" i="31"/>
  <c r="D12" i="31"/>
  <c r="E12" i="31"/>
  <c r="B21" i="36"/>
  <c r="E27" i="36"/>
  <c r="C27" i="36"/>
  <c r="J11" i="6"/>
  <c r="J10" i="6"/>
  <c r="K11" i="6"/>
  <c r="C26" i="36"/>
  <c r="C25" i="36"/>
  <c r="C24" i="36"/>
  <c r="C23" i="36"/>
  <c r="C22" i="36"/>
  <c r="C21" i="36"/>
  <c r="E21" i="36"/>
  <c r="G21" i="36"/>
  <c r="F27" i="36"/>
  <c r="G22" i="36"/>
  <c r="G23" i="36"/>
  <c r="G24" i="36"/>
  <c r="G25" i="36"/>
  <c r="G26" i="36"/>
  <c r="C17" i="5"/>
  <c r="I26" i="36"/>
  <c r="H27" i="36"/>
  <c r="I27" i="36"/>
  <c r="H21" i="36"/>
  <c r="C11" i="5"/>
  <c r="I20" i="36"/>
  <c r="J26" i="36"/>
  <c r="K26" i="36"/>
  <c r="M26" i="36"/>
  <c r="B19" i="40"/>
  <c r="C15" i="34"/>
  <c r="E15" i="34"/>
  <c r="D19" i="40"/>
  <c r="C19" i="40"/>
  <c r="G19" i="40"/>
  <c r="F19" i="40"/>
  <c r="C16" i="5"/>
  <c r="I25" i="36"/>
  <c r="J25" i="36"/>
  <c r="K25" i="36"/>
  <c r="M25" i="36"/>
  <c r="B18" i="40"/>
  <c r="C14" i="34"/>
  <c r="E14" i="34"/>
  <c r="D18" i="40"/>
  <c r="C18" i="40"/>
  <c r="G18" i="40"/>
  <c r="F18" i="40"/>
  <c r="C15" i="5"/>
  <c r="I24" i="36"/>
  <c r="J24" i="36"/>
  <c r="K24" i="36"/>
  <c r="M24" i="36"/>
  <c r="B17" i="40"/>
  <c r="C13" i="34"/>
  <c r="E13" i="34"/>
  <c r="D17" i="40"/>
  <c r="C17" i="40"/>
  <c r="G17" i="40"/>
  <c r="F17" i="40"/>
  <c r="C14" i="5"/>
  <c r="I23" i="36"/>
  <c r="J23" i="36"/>
  <c r="K23" i="36"/>
  <c r="M23" i="36"/>
  <c r="B16" i="40"/>
  <c r="C12" i="34"/>
  <c r="E12" i="34"/>
  <c r="D16" i="40"/>
  <c r="C16" i="40"/>
  <c r="G16" i="40"/>
  <c r="F16" i="40"/>
  <c r="C13" i="5"/>
  <c r="I22" i="36"/>
  <c r="J22" i="36"/>
  <c r="K22" i="36"/>
  <c r="M22" i="36"/>
  <c r="B15" i="40"/>
  <c r="C11" i="34"/>
  <c r="E11" i="34"/>
  <c r="D15" i="40"/>
  <c r="C15" i="40"/>
  <c r="G15" i="40"/>
  <c r="F15" i="40"/>
  <c r="C12" i="5"/>
  <c r="I21" i="36"/>
  <c r="J21" i="36"/>
  <c r="K21" i="36"/>
  <c r="M21" i="36"/>
  <c r="B14" i="40"/>
  <c r="C10" i="34"/>
  <c r="E10" i="34"/>
  <c r="D14" i="40"/>
  <c r="C14" i="40"/>
  <c r="G14" i="40"/>
  <c r="F14" i="40"/>
  <c r="C20" i="36"/>
  <c r="C19" i="36"/>
  <c r="C18" i="36"/>
  <c r="C17" i="36"/>
  <c r="C16" i="36"/>
  <c r="C15" i="36"/>
  <c r="C14" i="36"/>
  <c r="C13" i="36"/>
  <c r="C12" i="36"/>
  <c r="C11" i="36"/>
  <c r="C10" i="36"/>
  <c r="C9" i="36"/>
  <c r="B9" i="36"/>
  <c r="E9" i="36"/>
  <c r="G9" i="36"/>
  <c r="F21" i="36"/>
  <c r="G10" i="36"/>
  <c r="G11" i="36"/>
  <c r="G12" i="36"/>
  <c r="G13" i="36"/>
  <c r="G14" i="36"/>
  <c r="G15" i="36"/>
  <c r="G16" i="36"/>
  <c r="G17" i="36"/>
  <c r="G18" i="36"/>
  <c r="G19" i="36"/>
  <c r="G20" i="36"/>
  <c r="J27" i="36"/>
  <c r="J20" i="36"/>
  <c r="K20" i="36"/>
  <c r="M20" i="36"/>
  <c r="B13" i="40"/>
  <c r="C9" i="34"/>
  <c r="E9" i="34"/>
  <c r="D13" i="40"/>
  <c r="C13" i="40"/>
  <c r="G13" i="40"/>
  <c r="F13" i="40"/>
  <c r="C10" i="5"/>
  <c r="I19" i="36"/>
  <c r="J19" i="36"/>
  <c r="K19" i="36"/>
  <c r="M19" i="36"/>
  <c r="B12" i="40"/>
  <c r="C8" i="34"/>
  <c r="E8" i="34"/>
  <c r="D12" i="40"/>
  <c r="C12" i="40"/>
  <c r="G12" i="40"/>
  <c r="F12" i="40"/>
  <c r="C9" i="5"/>
  <c r="I18" i="36"/>
  <c r="J18" i="36"/>
  <c r="K18" i="36"/>
  <c r="M18" i="36"/>
  <c r="B11" i="40"/>
  <c r="C7" i="34"/>
  <c r="E7" i="34"/>
  <c r="D11" i="40"/>
  <c r="C11" i="40"/>
  <c r="G11" i="40"/>
  <c r="F11" i="40"/>
  <c r="K48" i="38"/>
  <c r="M48" i="38"/>
  <c r="D79" i="37"/>
  <c r="J79" i="37"/>
  <c r="L79" i="37"/>
  <c r="J9" i="37"/>
  <c r="L9" i="37"/>
  <c r="K27" i="36"/>
  <c r="G27" i="36"/>
  <c r="L21" i="36"/>
  <c r="B6" i="35"/>
  <c r="M27" i="33"/>
  <c r="L27" i="33"/>
  <c r="J27" i="33"/>
  <c r="I27" i="33"/>
  <c r="F12" i="33"/>
  <c r="F19" i="33"/>
  <c r="F27" i="33"/>
  <c r="E27" i="33"/>
  <c r="B12" i="33"/>
  <c r="B19" i="33"/>
  <c r="B27" i="33"/>
  <c r="M26" i="33"/>
  <c r="L26" i="33"/>
  <c r="J26" i="33"/>
  <c r="I26" i="33"/>
  <c r="H26" i="33"/>
  <c r="F26" i="33"/>
  <c r="E26" i="33"/>
  <c r="H49" i="23"/>
  <c r="L49" i="23"/>
  <c r="S49" i="23"/>
  <c r="X49" i="23"/>
  <c r="Z49" i="23"/>
  <c r="B11" i="33"/>
  <c r="B18" i="33"/>
  <c r="B26" i="33"/>
  <c r="M25" i="33"/>
  <c r="L25" i="33"/>
  <c r="J25" i="33"/>
  <c r="I25" i="33"/>
  <c r="H25" i="33"/>
  <c r="F25" i="33"/>
  <c r="E25" i="33"/>
  <c r="B10" i="33"/>
  <c r="B17" i="33"/>
  <c r="B25" i="33"/>
  <c r="M24" i="33"/>
  <c r="L24" i="33"/>
  <c r="J24" i="33"/>
  <c r="I24" i="33"/>
  <c r="H24" i="33"/>
  <c r="F24" i="33"/>
  <c r="E24" i="33"/>
  <c r="B9" i="33"/>
  <c r="B16" i="33"/>
  <c r="B24" i="33"/>
  <c r="M23" i="33"/>
  <c r="L23" i="33"/>
  <c r="J23" i="33"/>
  <c r="I23" i="33"/>
  <c r="H23" i="33"/>
  <c r="F23" i="33"/>
  <c r="E23" i="33"/>
  <c r="B23" i="33"/>
  <c r="L20" i="32"/>
  <c r="K20" i="32"/>
  <c r="J20" i="32"/>
  <c r="I15" i="32"/>
  <c r="I20" i="32"/>
  <c r="H20" i="32"/>
  <c r="G20" i="32"/>
  <c r="F20" i="32"/>
  <c r="E20" i="32"/>
  <c r="D20" i="32"/>
  <c r="C20" i="32"/>
  <c r="L19" i="32"/>
  <c r="K19" i="32"/>
  <c r="J19" i="32"/>
  <c r="I14" i="32"/>
  <c r="I19" i="32"/>
  <c r="H19" i="32"/>
  <c r="G19" i="32"/>
  <c r="F19" i="32"/>
  <c r="E19" i="32"/>
  <c r="D19" i="32"/>
  <c r="C19" i="32"/>
  <c r="L18" i="32"/>
  <c r="K18" i="32"/>
  <c r="J18" i="32"/>
  <c r="I13" i="32"/>
  <c r="I18" i="32"/>
  <c r="H18" i="32"/>
  <c r="G18" i="32"/>
  <c r="F18" i="32"/>
  <c r="E18" i="32"/>
  <c r="D18" i="32"/>
  <c r="C18" i="32"/>
  <c r="J15" i="32"/>
  <c r="J14" i="32"/>
  <c r="J13" i="32"/>
  <c r="B19" i="31"/>
  <c r="E19" i="31"/>
  <c r="B18" i="31"/>
  <c r="E18" i="31"/>
  <c r="D18" i="31"/>
  <c r="C18" i="31"/>
  <c r="B17" i="31"/>
  <c r="E17" i="31"/>
  <c r="C17" i="31"/>
  <c r="D17" i="31"/>
  <c r="L10" i="30"/>
  <c r="B10" i="30"/>
  <c r="C10" i="30"/>
  <c r="D10" i="30"/>
  <c r="J10" i="30"/>
  <c r="K10" i="30"/>
  <c r="G10" i="30"/>
  <c r="H10" i="30"/>
  <c r="I10" i="30"/>
  <c r="E10" i="30"/>
  <c r="L9" i="30"/>
  <c r="B9" i="30"/>
  <c r="C9" i="30"/>
  <c r="D9" i="30"/>
  <c r="J9" i="30"/>
  <c r="K9" i="30"/>
  <c r="G9" i="30"/>
  <c r="H9" i="30"/>
  <c r="I9" i="30"/>
  <c r="E9" i="30"/>
  <c r="L8" i="30"/>
  <c r="B8" i="30"/>
  <c r="C8" i="30"/>
  <c r="D8" i="30"/>
  <c r="J8" i="30"/>
  <c r="K8" i="30"/>
  <c r="G8" i="30"/>
  <c r="H8" i="30"/>
  <c r="I8" i="30"/>
  <c r="E8" i="30"/>
  <c r="B2" i="29"/>
  <c r="D14" i="28"/>
  <c r="E14" i="28"/>
  <c r="D13" i="28"/>
  <c r="E13" i="28"/>
  <c r="E12" i="28"/>
  <c r="F27" i="27"/>
  <c r="H27" i="27"/>
  <c r="D27" i="27"/>
  <c r="F26" i="27"/>
  <c r="H26" i="27"/>
  <c r="D26" i="27"/>
  <c r="F25" i="27"/>
  <c r="H25" i="27"/>
  <c r="D25" i="27"/>
  <c r="F24" i="27"/>
  <c r="H24" i="27"/>
  <c r="D24" i="27"/>
  <c r="F23" i="27"/>
  <c r="H23" i="27"/>
  <c r="D23" i="27"/>
  <c r="F22" i="27"/>
  <c r="H22" i="27"/>
  <c r="D22" i="27"/>
  <c r="F21" i="27"/>
  <c r="H21" i="27"/>
  <c r="D21" i="27"/>
  <c r="F20" i="27"/>
  <c r="H20" i="27"/>
  <c r="D20" i="27"/>
  <c r="F19" i="27"/>
  <c r="H19" i="27"/>
  <c r="D19" i="27"/>
  <c r="F18" i="27"/>
  <c r="H18" i="27"/>
  <c r="D18" i="27"/>
  <c r="F17" i="27"/>
  <c r="H17" i="27"/>
  <c r="D17" i="27"/>
  <c r="F16" i="27"/>
  <c r="H16" i="27"/>
  <c r="D16" i="27"/>
  <c r="F15" i="27"/>
  <c r="H15" i="27"/>
  <c r="D15" i="27"/>
  <c r="F14" i="27"/>
  <c r="H14" i="27"/>
  <c r="D14" i="27"/>
  <c r="F13" i="27"/>
  <c r="H13" i="27"/>
  <c r="D13" i="27"/>
  <c r="F12" i="27"/>
  <c r="H12" i="27"/>
  <c r="D12" i="27"/>
  <c r="F11" i="27"/>
  <c r="H11" i="27"/>
  <c r="D11" i="27"/>
  <c r="F10" i="27"/>
  <c r="H10" i="27"/>
  <c r="D10" i="27"/>
  <c r="F9" i="27"/>
  <c r="H9" i="27"/>
  <c r="D9" i="27"/>
  <c r="F8" i="27"/>
  <c r="H8" i="27"/>
  <c r="D8" i="27"/>
  <c r="F7" i="27"/>
  <c r="H7" i="27"/>
  <c r="D7" i="27"/>
  <c r="F6" i="27"/>
  <c r="D6" i="27"/>
  <c r="F5" i="27"/>
  <c r="D5" i="27"/>
  <c r="H29" i="26"/>
  <c r="D29" i="26"/>
  <c r="E29" i="26"/>
  <c r="G29" i="26"/>
  <c r="H8" i="26"/>
  <c r="D8" i="26"/>
  <c r="E8" i="26"/>
  <c r="G8" i="26"/>
  <c r="E10" i="25"/>
  <c r="E25" i="25"/>
  <c r="C25" i="25"/>
  <c r="B25" i="25"/>
  <c r="E9" i="25"/>
  <c r="E24" i="25"/>
  <c r="C24" i="25"/>
  <c r="B24" i="25"/>
  <c r="E8" i="25"/>
  <c r="E23" i="25"/>
  <c r="D23" i="25"/>
  <c r="C23" i="25"/>
  <c r="B23" i="25"/>
  <c r="E7" i="25"/>
  <c r="E22" i="25"/>
  <c r="D22" i="25"/>
  <c r="C22" i="25"/>
  <c r="B22" i="25"/>
  <c r="E6" i="25"/>
  <c r="E13" i="25"/>
  <c r="E21" i="25"/>
  <c r="D21" i="25"/>
  <c r="C21" i="25"/>
  <c r="B21" i="25"/>
  <c r="D69" i="24"/>
  <c r="E69" i="24"/>
  <c r="F69" i="24"/>
  <c r="G69" i="24"/>
  <c r="D68" i="24"/>
  <c r="E68" i="24"/>
  <c r="F68" i="24"/>
  <c r="G68" i="24"/>
  <c r="D67" i="24"/>
  <c r="E67" i="24"/>
  <c r="F67" i="24"/>
  <c r="G67" i="24"/>
  <c r="D66" i="24"/>
  <c r="E66" i="24"/>
  <c r="F66" i="24"/>
  <c r="G66" i="24"/>
  <c r="D65" i="24"/>
  <c r="E65" i="24"/>
  <c r="F65" i="24"/>
  <c r="G65" i="24"/>
  <c r="D64" i="24"/>
  <c r="E64" i="24"/>
  <c r="F64" i="24"/>
  <c r="G64" i="24"/>
  <c r="D63" i="24"/>
  <c r="E63" i="24"/>
  <c r="F63" i="24"/>
  <c r="G63" i="24"/>
  <c r="D62" i="24"/>
  <c r="E62" i="24"/>
  <c r="F62" i="24"/>
  <c r="G62" i="24"/>
  <c r="D61" i="24"/>
  <c r="E61" i="24"/>
  <c r="F61" i="24"/>
  <c r="G61" i="24"/>
  <c r="D60" i="24"/>
  <c r="E60" i="24"/>
  <c r="F60" i="24"/>
  <c r="G60" i="24"/>
  <c r="D59" i="24"/>
  <c r="E59" i="24"/>
  <c r="F59" i="24"/>
  <c r="G59" i="24"/>
  <c r="D58" i="24"/>
  <c r="E58" i="24"/>
  <c r="F58" i="24"/>
  <c r="G58" i="24"/>
  <c r="D57" i="24"/>
  <c r="E57" i="24"/>
  <c r="F57" i="24"/>
  <c r="G57" i="24"/>
  <c r="D56" i="24"/>
  <c r="E56" i="24"/>
  <c r="F56" i="24"/>
  <c r="G56" i="24"/>
  <c r="D55" i="24"/>
  <c r="E55" i="24"/>
  <c r="F55" i="24"/>
  <c r="G55" i="24"/>
  <c r="D54" i="24"/>
  <c r="E54" i="24"/>
  <c r="F54" i="24"/>
  <c r="G54" i="24"/>
  <c r="D53" i="24"/>
  <c r="E53" i="24"/>
  <c r="F53" i="24"/>
  <c r="G53" i="24"/>
  <c r="D52" i="24"/>
  <c r="E52" i="24"/>
  <c r="F52" i="24"/>
  <c r="G52" i="24"/>
  <c r="D51" i="24"/>
  <c r="E51" i="24"/>
  <c r="F51" i="24"/>
  <c r="G51" i="24"/>
  <c r="D50" i="24"/>
  <c r="E50" i="24"/>
  <c r="F50" i="24"/>
  <c r="G50" i="24"/>
  <c r="T5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H51" i="23"/>
  <c r="L51" i="23"/>
  <c r="S51" i="23"/>
  <c r="X51" i="23"/>
  <c r="Z51" i="23"/>
  <c r="AC51" i="23"/>
  <c r="T51" i="23"/>
  <c r="H50" i="23"/>
  <c r="L50" i="23"/>
  <c r="S50" i="23"/>
  <c r="X50" i="23"/>
  <c r="Z50" i="23"/>
  <c r="AC50" i="23"/>
  <c r="T50" i="23"/>
  <c r="AC49" i="23"/>
  <c r="T49" i="23"/>
  <c r="H48" i="23"/>
  <c r="L48" i="23"/>
  <c r="S48" i="23"/>
  <c r="X48" i="23"/>
  <c r="Z48" i="23"/>
  <c r="AC48" i="23"/>
  <c r="T48" i="23"/>
  <c r="H47" i="23"/>
  <c r="L47" i="23"/>
  <c r="S47" i="23"/>
  <c r="X47" i="23"/>
  <c r="Z47" i="23"/>
  <c r="AC47" i="23"/>
  <c r="T47" i="23"/>
  <c r="H46" i="23"/>
  <c r="L46" i="23"/>
  <c r="S46" i="23"/>
  <c r="X46" i="23"/>
  <c r="Z46" i="23"/>
  <c r="AC46" i="23"/>
  <c r="T46" i="23"/>
  <c r="H45" i="23"/>
  <c r="L45" i="23"/>
  <c r="S45" i="23"/>
  <c r="X45" i="23"/>
  <c r="Z45" i="23"/>
  <c r="AC45" i="23"/>
  <c r="T45" i="23"/>
  <c r="H44" i="23"/>
  <c r="L44" i="23"/>
  <c r="S44" i="23"/>
  <c r="X44" i="23"/>
  <c r="Z44" i="23"/>
  <c r="AC44" i="23"/>
  <c r="T44" i="23"/>
  <c r="H43" i="23"/>
  <c r="L43" i="23"/>
  <c r="S43" i="23"/>
  <c r="X43" i="23"/>
  <c r="Z43" i="23"/>
  <c r="AC43" i="23"/>
  <c r="T43" i="23"/>
  <c r="T42" i="23"/>
  <c r="H41" i="23"/>
  <c r="L41" i="23"/>
  <c r="S41" i="23"/>
  <c r="X41" i="23"/>
  <c r="Z41" i="23"/>
  <c r="AC41" i="23"/>
  <c r="T41" i="23"/>
  <c r="H40" i="23"/>
  <c r="L40" i="23"/>
  <c r="S40" i="23"/>
  <c r="X40" i="23"/>
  <c r="Z40" i="23"/>
  <c r="AC40" i="23"/>
  <c r="T40" i="23"/>
  <c r="H39" i="23"/>
  <c r="L39" i="23"/>
  <c r="S39" i="23"/>
  <c r="X39" i="23"/>
  <c r="Z39" i="23"/>
  <c r="AC39" i="23"/>
  <c r="T39" i="23"/>
  <c r="H38" i="23"/>
  <c r="L38" i="23"/>
  <c r="S38" i="23"/>
  <c r="X38" i="23"/>
  <c r="Z38" i="23"/>
  <c r="AC38" i="23"/>
  <c r="T38" i="23"/>
  <c r="H37" i="23"/>
  <c r="L37" i="23"/>
  <c r="S37" i="23"/>
  <c r="X37" i="23"/>
  <c r="Z37" i="23"/>
  <c r="AC37" i="23"/>
  <c r="T37" i="23"/>
  <c r="H36" i="23"/>
  <c r="L36" i="23"/>
  <c r="S36" i="23"/>
  <c r="X36" i="23"/>
  <c r="Z36" i="23"/>
  <c r="AC36" i="23"/>
  <c r="T36" i="23"/>
  <c r="H35" i="23"/>
  <c r="L35" i="23"/>
  <c r="S35" i="23"/>
  <c r="X35" i="23"/>
  <c r="Z35" i="23"/>
  <c r="AC35" i="23"/>
  <c r="T35" i="23"/>
  <c r="H34" i="23"/>
  <c r="L34" i="23"/>
  <c r="S34" i="23"/>
  <c r="X34" i="23"/>
  <c r="Z34" i="23"/>
  <c r="AC34" i="23"/>
  <c r="T34" i="23"/>
  <c r="H33" i="23"/>
  <c r="L33" i="23"/>
  <c r="S33" i="23"/>
  <c r="X33" i="23"/>
  <c r="Z33" i="23"/>
  <c r="AC33" i="23"/>
  <c r="T33" i="23"/>
  <c r="T32" i="23"/>
  <c r="H31" i="23"/>
  <c r="L31" i="23"/>
  <c r="S31" i="23"/>
  <c r="X31" i="23"/>
  <c r="Z31" i="23"/>
  <c r="AC31" i="23"/>
  <c r="T31" i="23"/>
  <c r="H30" i="23"/>
  <c r="L30" i="23"/>
  <c r="S30" i="23"/>
  <c r="X30" i="23"/>
  <c r="Z30" i="23"/>
  <c r="AC30" i="23"/>
  <c r="T30" i="23"/>
  <c r="H29" i="23"/>
  <c r="L29" i="23"/>
  <c r="S29" i="23"/>
  <c r="X29" i="23"/>
  <c r="Z29" i="23"/>
  <c r="AC29" i="23"/>
  <c r="T29" i="23"/>
  <c r="H28" i="23"/>
  <c r="L28" i="23"/>
  <c r="S28" i="23"/>
  <c r="X28" i="23"/>
  <c r="Z28" i="23"/>
  <c r="AC28" i="23"/>
  <c r="T28" i="23"/>
  <c r="H27" i="23"/>
  <c r="L27" i="23"/>
  <c r="S27" i="23"/>
  <c r="X27" i="23"/>
  <c r="Z27" i="23"/>
  <c r="AC27" i="23"/>
  <c r="T27" i="23"/>
  <c r="H26" i="23"/>
  <c r="L26" i="23"/>
  <c r="S26" i="23"/>
  <c r="X26" i="23"/>
  <c r="Z26" i="23"/>
  <c r="AC26" i="23"/>
  <c r="T26" i="23"/>
  <c r="H25" i="23"/>
  <c r="L25" i="23"/>
  <c r="S25" i="23"/>
  <c r="X25" i="23"/>
  <c r="Z25" i="23"/>
  <c r="AC25" i="23"/>
  <c r="T25" i="23"/>
  <c r="H24" i="23"/>
  <c r="L24" i="23"/>
  <c r="S24" i="23"/>
  <c r="X24" i="23"/>
  <c r="Z24" i="23"/>
  <c r="AC24" i="23"/>
  <c r="T24" i="23"/>
  <c r="H23" i="23"/>
  <c r="L23" i="23"/>
  <c r="S23" i="23"/>
  <c r="X23" i="23"/>
  <c r="Z23" i="23"/>
  <c r="AC23" i="23"/>
  <c r="T23" i="23"/>
  <c r="T22" i="23"/>
  <c r="AC21" i="23"/>
  <c r="T21" i="23"/>
  <c r="AC20" i="23"/>
  <c r="T20" i="23"/>
  <c r="AC19" i="23"/>
  <c r="T19" i="23"/>
  <c r="AC18" i="23"/>
  <c r="T18" i="23"/>
  <c r="AC17" i="23"/>
  <c r="T17" i="23"/>
  <c r="AC16" i="23"/>
  <c r="T16" i="23"/>
  <c r="AC15" i="23"/>
  <c r="T15" i="23"/>
  <c r="AC14" i="23"/>
  <c r="T14" i="23"/>
  <c r="AC13" i="23"/>
  <c r="T13" i="23"/>
  <c r="T12" i="23"/>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H78" i="22"/>
  <c r="L78" i="22"/>
  <c r="W78" i="22"/>
  <c r="X78" i="22"/>
  <c r="AB78" i="22"/>
  <c r="AD78" i="22"/>
  <c r="AG78" i="22"/>
  <c r="H77" i="22"/>
  <c r="L77" i="22"/>
  <c r="W77" i="22"/>
  <c r="X77" i="22"/>
  <c r="AB77" i="22"/>
  <c r="AD77" i="22"/>
  <c r="AG77" i="22"/>
  <c r="H76" i="22"/>
  <c r="L76" i="22"/>
  <c r="W76" i="22"/>
  <c r="X76" i="22"/>
  <c r="AB76" i="22"/>
  <c r="AD76" i="22"/>
  <c r="AG76" i="22"/>
  <c r="H75" i="22"/>
  <c r="L75" i="22"/>
  <c r="W75" i="22"/>
  <c r="X75" i="22"/>
  <c r="AB75" i="22"/>
  <c r="AD75" i="22"/>
  <c r="AG75" i="22"/>
  <c r="H74" i="22"/>
  <c r="L74" i="22"/>
  <c r="W74" i="22"/>
  <c r="X74" i="22"/>
  <c r="AB74" i="22"/>
  <c r="AD74" i="22"/>
  <c r="AG74" i="22"/>
  <c r="H73" i="22"/>
  <c r="L73" i="22"/>
  <c r="W73" i="22"/>
  <c r="X73" i="22"/>
  <c r="AB73" i="22"/>
  <c r="AD73" i="22"/>
  <c r="AG73" i="22"/>
  <c r="H72" i="22"/>
  <c r="L72" i="22"/>
  <c r="W72" i="22"/>
  <c r="X72" i="22"/>
  <c r="AB72" i="22"/>
  <c r="AD72" i="22"/>
  <c r="AG72" i="22"/>
  <c r="H71" i="22"/>
  <c r="L71" i="22"/>
  <c r="W71" i="22"/>
  <c r="X71" i="22"/>
  <c r="AB71" i="22"/>
  <c r="AD71" i="22"/>
  <c r="AG71" i="22"/>
  <c r="H70" i="22"/>
  <c r="L70" i="22"/>
  <c r="W70" i="22"/>
  <c r="X70" i="22"/>
  <c r="AB70" i="22"/>
  <c r="AD70" i="22"/>
  <c r="AG70" i="22"/>
  <c r="H68" i="22"/>
  <c r="L68" i="22"/>
  <c r="W68" i="22"/>
  <c r="X68" i="22"/>
  <c r="AB68" i="22"/>
  <c r="AD68" i="22"/>
  <c r="AG68" i="22"/>
  <c r="H67" i="22"/>
  <c r="L67" i="22"/>
  <c r="W67" i="22"/>
  <c r="X67" i="22"/>
  <c r="AB67" i="22"/>
  <c r="AD67" i="22"/>
  <c r="AG67" i="22"/>
  <c r="H66" i="22"/>
  <c r="L66" i="22"/>
  <c r="W66" i="22"/>
  <c r="X66" i="22"/>
  <c r="AB66" i="22"/>
  <c r="AD66" i="22"/>
  <c r="AG66" i="22"/>
  <c r="H65" i="22"/>
  <c r="L65" i="22"/>
  <c r="W65" i="22"/>
  <c r="X65" i="22"/>
  <c r="AB65" i="22"/>
  <c r="AD65" i="22"/>
  <c r="AG65" i="22"/>
  <c r="H64" i="22"/>
  <c r="L64" i="22"/>
  <c r="W64" i="22"/>
  <c r="X64" i="22"/>
  <c r="AB64" i="22"/>
  <c r="AD64" i="22"/>
  <c r="AG64" i="22"/>
  <c r="H63" i="22"/>
  <c r="L63" i="22"/>
  <c r="W63" i="22"/>
  <c r="X63" i="22"/>
  <c r="AB63" i="22"/>
  <c r="AD63" i="22"/>
  <c r="AG63" i="22"/>
  <c r="H62" i="22"/>
  <c r="L62" i="22"/>
  <c r="W62" i="22"/>
  <c r="X62" i="22"/>
  <c r="AB62" i="22"/>
  <c r="AD62" i="22"/>
  <c r="AG62" i="22"/>
  <c r="H61" i="22"/>
  <c r="L61" i="22"/>
  <c r="W61" i="22"/>
  <c r="X61" i="22"/>
  <c r="AB61" i="22"/>
  <c r="AD61" i="22"/>
  <c r="AG61" i="22"/>
  <c r="H60" i="22"/>
  <c r="L60" i="22"/>
  <c r="W60" i="22"/>
  <c r="X60" i="22"/>
  <c r="AB60" i="22"/>
  <c r="AD60" i="22"/>
  <c r="AG60" i="22"/>
  <c r="H58" i="22"/>
  <c r="L58" i="22"/>
  <c r="W58" i="22"/>
  <c r="X58" i="22"/>
  <c r="AB58" i="22"/>
  <c r="AD58" i="22"/>
  <c r="AG58" i="22"/>
  <c r="H57" i="22"/>
  <c r="L57" i="22"/>
  <c r="W57" i="22"/>
  <c r="X57" i="22"/>
  <c r="AB57" i="22"/>
  <c r="AD57" i="22"/>
  <c r="AG57" i="22"/>
  <c r="H56" i="22"/>
  <c r="L56" i="22"/>
  <c r="W56" i="22"/>
  <c r="X56" i="22"/>
  <c r="AB56" i="22"/>
  <c r="AD56" i="22"/>
  <c r="AG56" i="22"/>
  <c r="H55" i="22"/>
  <c r="L55" i="22"/>
  <c r="W55" i="22"/>
  <c r="X55" i="22"/>
  <c r="AB55" i="22"/>
  <c r="AD55" i="22"/>
  <c r="AG55" i="22"/>
  <c r="H54" i="22"/>
  <c r="L54" i="22"/>
  <c r="W54" i="22"/>
  <c r="X54" i="22"/>
  <c r="AB54" i="22"/>
  <c r="AD54" i="22"/>
  <c r="AG54" i="22"/>
  <c r="H53" i="22"/>
  <c r="L53" i="22"/>
  <c r="W53" i="22"/>
  <c r="X53" i="22"/>
  <c r="AB53" i="22"/>
  <c r="AD53" i="22"/>
  <c r="AG53" i="22"/>
  <c r="H52" i="22"/>
  <c r="L52" i="22"/>
  <c r="W52" i="22"/>
  <c r="X52" i="22"/>
  <c r="AB52" i="22"/>
  <c r="AD52" i="22"/>
  <c r="AG52" i="22"/>
  <c r="H51" i="22"/>
  <c r="L51" i="22"/>
  <c r="W51" i="22"/>
  <c r="X51" i="22"/>
  <c r="AB51" i="22"/>
  <c r="AD51" i="22"/>
  <c r="AG51" i="22"/>
  <c r="H50" i="22"/>
  <c r="L50" i="22"/>
  <c r="W50" i="22"/>
  <c r="X50" i="22"/>
  <c r="AB50" i="22"/>
  <c r="AD50" i="22"/>
  <c r="AG50" i="22"/>
  <c r="H48" i="22"/>
  <c r="L48" i="22"/>
  <c r="W48" i="22"/>
  <c r="X48" i="22"/>
  <c r="AB48" i="22"/>
  <c r="AD48" i="22"/>
  <c r="AG48" i="22"/>
  <c r="H47" i="22"/>
  <c r="L47" i="22"/>
  <c r="W47" i="22"/>
  <c r="X47" i="22"/>
  <c r="AB47" i="22"/>
  <c r="AD47" i="22"/>
  <c r="AG47" i="22"/>
  <c r="H46" i="22"/>
  <c r="L46" i="22"/>
  <c r="W46" i="22"/>
  <c r="X46" i="22"/>
  <c r="AB46" i="22"/>
  <c r="AD46" i="22"/>
  <c r="AG46" i="22"/>
  <c r="H45" i="22"/>
  <c r="L45" i="22"/>
  <c r="W45" i="22"/>
  <c r="X45" i="22"/>
  <c r="AB45" i="22"/>
  <c r="AD45" i="22"/>
  <c r="AG45" i="22"/>
  <c r="H44" i="22"/>
  <c r="L44" i="22"/>
  <c r="W44" i="22"/>
  <c r="X44" i="22"/>
  <c r="AB44" i="22"/>
  <c r="AD44" i="22"/>
  <c r="AG44" i="22"/>
  <c r="H43" i="22"/>
  <c r="L43" i="22"/>
  <c r="W43" i="22"/>
  <c r="X43" i="22"/>
  <c r="AB43" i="22"/>
  <c r="AD43" i="22"/>
  <c r="AG43" i="22"/>
  <c r="H42" i="22"/>
  <c r="L42" i="22"/>
  <c r="W42" i="22"/>
  <c r="X42" i="22"/>
  <c r="AB42" i="22"/>
  <c r="AD42" i="22"/>
  <c r="AG42" i="22"/>
  <c r="H41" i="22"/>
  <c r="L41" i="22"/>
  <c r="W41" i="22"/>
  <c r="X41" i="22"/>
  <c r="AB41" i="22"/>
  <c r="AD41" i="22"/>
  <c r="AG41" i="22"/>
  <c r="H40" i="22"/>
  <c r="L40" i="22"/>
  <c r="W40" i="22"/>
  <c r="X40" i="22"/>
  <c r="AB40" i="22"/>
  <c r="AD40"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H36" i="22"/>
  <c r="L36" i="22"/>
  <c r="W36" i="22"/>
  <c r="X36" i="22"/>
  <c r="AB36" i="22"/>
  <c r="AD36" i="22"/>
  <c r="H35" i="22"/>
  <c r="L35" i="22"/>
  <c r="W35" i="22"/>
  <c r="X35" i="22"/>
  <c r="AB35" i="22"/>
  <c r="AD35" i="22"/>
  <c r="H34" i="22"/>
  <c r="L34" i="22"/>
  <c r="W34" i="22"/>
  <c r="X34" i="22"/>
  <c r="AB34" i="22"/>
  <c r="AD34" i="22"/>
  <c r="H33" i="22"/>
  <c r="L33" i="22"/>
  <c r="W33" i="22"/>
  <c r="X33" i="22"/>
  <c r="AB33" i="22"/>
  <c r="AD33" i="22"/>
  <c r="H32" i="22"/>
  <c r="L32" i="22"/>
  <c r="W32" i="22"/>
  <c r="X32" i="22"/>
  <c r="AB32" i="22"/>
  <c r="AD32" i="22"/>
  <c r="H31" i="22"/>
  <c r="L31" i="22"/>
  <c r="W31" i="22"/>
  <c r="X31" i="22"/>
  <c r="AB31" i="22"/>
  <c r="AD31" i="22"/>
  <c r="H30" i="22"/>
  <c r="L30" i="22"/>
  <c r="W30" i="22"/>
  <c r="X30" i="22"/>
  <c r="AB30" i="22"/>
  <c r="AD30" i="22"/>
  <c r="H29" i="22"/>
  <c r="L29" i="22"/>
  <c r="W29" i="22"/>
  <c r="X29" i="22"/>
  <c r="AB29" i="22"/>
  <c r="AD29" i="22"/>
  <c r="H28" i="22"/>
  <c r="L28" i="22"/>
  <c r="W28" i="22"/>
  <c r="X28" i="22"/>
  <c r="AB28" i="22"/>
  <c r="AD28" i="22"/>
  <c r="H26" i="22"/>
  <c r="L26" i="22"/>
  <c r="W26" i="22"/>
  <c r="X26" i="22"/>
  <c r="AB26" i="22"/>
  <c r="AD26" i="22"/>
  <c r="H25" i="22"/>
  <c r="L25" i="22"/>
  <c r="W25" i="22"/>
  <c r="X25" i="22"/>
  <c r="AB25" i="22"/>
  <c r="AD25" i="22"/>
  <c r="H24" i="22"/>
  <c r="L24" i="22"/>
  <c r="W24" i="22"/>
  <c r="X24" i="22"/>
  <c r="AB24" i="22"/>
  <c r="AD24" i="22"/>
  <c r="H23" i="22"/>
  <c r="L23" i="22"/>
  <c r="W23" i="22"/>
  <c r="X23" i="22"/>
  <c r="AB23" i="22"/>
  <c r="AD23" i="22"/>
  <c r="H22" i="22"/>
  <c r="L22" i="22"/>
  <c r="W22" i="22"/>
  <c r="X22" i="22"/>
  <c r="AB22" i="22"/>
  <c r="AD22" i="22"/>
  <c r="H21" i="22"/>
  <c r="L21" i="22"/>
  <c r="W21" i="22"/>
  <c r="X21" i="22"/>
  <c r="AB21" i="22"/>
  <c r="AD21" i="22"/>
  <c r="H20" i="22"/>
  <c r="L20" i="22"/>
  <c r="W20" i="22"/>
  <c r="X20" i="22"/>
  <c r="AB20" i="22"/>
  <c r="AD20" i="22"/>
  <c r="H19" i="22"/>
  <c r="L19" i="22"/>
  <c r="W19" i="22"/>
  <c r="X19" i="22"/>
  <c r="AB19" i="22"/>
  <c r="AD19" i="22"/>
  <c r="H18" i="22"/>
  <c r="L18" i="22"/>
  <c r="W18" i="22"/>
  <c r="X18" i="22"/>
  <c r="AB18" i="22"/>
  <c r="AD18" i="22"/>
  <c r="H16" i="22"/>
  <c r="L16" i="22"/>
  <c r="W16" i="22"/>
  <c r="X16" i="22"/>
  <c r="AB16" i="22"/>
  <c r="AD16" i="22"/>
  <c r="H15" i="22"/>
  <c r="L15" i="22"/>
  <c r="W15" i="22"/>
  <c r="X15" i="22"/>
  <c r="AB15" i="22"/>
  <c r="AD15" i="22"/>
  <c r="H14" i="22"/>
  <c r="L14" i="22"/>
  <c r="W14" i="22"/>
  <c r="X14" i="22"/>
  <c r="AB14" i="22"/>
  <c r="AD14" i="22"/>
  <c r="H13" i="22"/>
  <c r="L13" i="22"/>
  <c r="W13" i="22"/>
  <c r="X13" i="22"/>
  <c r="AB13" i="22"/>
  <c r="AD13" i="22"/>
  <c r="H12" i="22"/>
  <c r="L12" i="22"/>
  <c r="W12" i="22"/>
  <c r="X12" i="22"/>
  <c r="AB12" i="22"/>
  <c r="AD12" i="22"/>
  <c r="D28" i="21"/>
  <c r="C28" i="21"/>
  <c r="B28" i="21"/>
  <c r="H18" i="21"/>
  <c r="G18" i="21"/>
  <c r="F18" i="21"/>
  <c r="E18" i="21"/>
  <c r="D18" i="21"/>
  <c r="C18" i="21"/>
  <c r="B18" i="21"/>
  <c r="H8" i="20"/>
  <c r="G8" i="20"/>
  <c r="F8" i="20"/>
  <c r="E8" i="20"/>
  <c r="D8" i="20"/>
  <c r="C8" i="20"/>
  <c r="B8" i="20"/>
  <c r="I43" i="19"/>
  <c r="G43" i="19"/>
  <c r="I42" i="19"/>
  <c r="G42" i="19"/>
  <c r="I41" i="19"/>
  <c r="G41" i="19"/>
  <c r="I40" i="19"/>
  <c r="G40" i="19"/>
  <c r="I39" i="19"/>
  <c r="G39" i="19"/>
  <c r="I38" i="19"/>
  <c r="G38" i="19"/>
  <c r="I37" i="19"/>
  <c r="G37" i="19"/>
  <c r="G35" i="19"/>
  <c r="G34" i="19"/>
  <c r="G33" i="19"/>
  <c r="G32" i="19"/>
  <c r="I30" i="19"/>
  <c r="G30" i="19"/>
  <c r="I29" i="19"/>
  <c r="G29" i="19"/>
  <c r="I28" i="19"/>
  <c r="G28" i="19"/>
  <c r="I27" i="19"/>
  <c r="G27" i="19"/>
  <c r="I26" i="19"/>
  <c r="G26" i="19"/>
  <c r="G21" i="19"/>
  <c r="G20" i="19"/>
  <c r="G19" i="19"/>
  <c r="G18" i="19"/>
  <c r="G17" i="19"/>
  <c r="G16" i="19"/>
  <c r="G15" i="19"/>
  <c r="G13" i="19"/>
  <c r="G12" i="19"/>
  <c r="G11" i="19"/>
  <c r="G10" i="19"/>
  <c r="G9" i="19"/>
  <c r="F21" i="18"/>
  <c r="G21" i="18"/>
  <c r="F20" i="18"/>
  <c r="G20" i="18"/>
  <c r="H20" i="18"/>
  <c r="G18" i="18"/>
  <c r="E24" i="17"/>
  <c r="E23" i="17"/>
  <c r="E22" i="17"/>
  <c r="E21" i="17"/>
  <c r="E20" i="17"/>
  <c r="E19" i="17"/>
  <c r="E18" i="17"/>
  <c r="E11" i="17"/>
  <c r="E10" i="17"/>
  <c r="E9" i="17"/>
  <c r="E8" i="17"/>
  <c r="E7" i="17"/>
  <c r="I14" i="16"/>
  <c r="I13" i="16"/>
  <c r="I12" i="16"/>
  <c r="I11" i="16"/>
  <c r="I10" i="16"/>
  <c r="I9" i="16"/>
  <c r="I8" i="16"/>
  <c r="D22" i="9"/>
  <c r="D21" i="9"/>
  <c r="D20" i="9"/>
  <c r="D19" i="9"/>
  <c r="D18" i="9"/>
  <c r="D17" i="9"/>
  <c r="H11" i="6"/>
  <c r="I11" i="6"/>
  <c r="J9" i="6"/>
  <c r="K10" i="6"/>
  <c r="H10" i="6"/>
  <c r="I10" i="6"/>
  <c r="J8" i="6"/>
  <c r="K9" i="6"/>
  <c r="H9" i="6"/>
  <c r="I9" i="6"/>
  <c r="H8" i="6"/>
  <c r="I8" i="6"/>
  <c r="B2" i="2"/>
</calcChain>
</file>

<file path=xl/sharedStrings.xml><?xml version="1.0" encoding="utf-8"?>
<sst xmlns="http://schemas.openxmlformats.org/spreadsheetml/2006/main" count="841" uniqueCount="631">
  <si>
    <t>Guide to Source (S) sheets</t>
  </si>
  <si>
    <t>Guide to contents</t>
  </si>
  <si>
    <t>Current as of:</t>
  </si>
  <si>
    <t>This file consists of 22 worksheets that contain the raw source data used to produce the estimates in Louis D. Johnston and Samuel H. Williamson, "The Annual Real and Nominal GDP for the United States, 1790 - Present."</t>
  </si>
  <si>
    <t>Sheet number</t>
  </si>
  <si>
    <t>Name</t>
  </si>
  <si>
    <t>Brief description</t>
  </si>
  <si>
    <t>S1</t>
  </si>
  <si>
    <t>BEA estimates of Real GDP, nominal GDP and GDP deflator</t>
  </si>
  <si>
    <t>S2</t>
  </si>
  <si>
    <t>David-Solar raw data</t>
  </si>
  <si>
    <t>David and Solar (1977) CPI</t>
  </si>
  <si>
    <t>S3</t>
  </si>
  <si>
    <t>Davis 2004 IIP</t>
  </si>
  <si>
    <t>Davis (2004) index of industrial production</t>
  </si>
  <si>
    <t>S4</t>
  </si>
  <si>
    <t>Mancall and Weiss raw data</t>
  </si>
  <si>
    <t>Mancall and Weiss (1999) estimates of GDP and components for 1700 to 1800</t>
  </si>
  <si>
    <t>S5</t>
  </si>
  <si>
    <t>McCusker raw data</t>
  </si>
  <si>
    <t>McCusker (2000) estimates of real GDP, population and CPI</t>
  </si>
  <si>
    <t>S6</t>
  </si>
  <si>
    <t>Trescott 1960</t>
  </si>
  <si>
    <t>Trescott (1960) estimates of federal government spending</t>
  </si>
  <si>
    <t>S7</t>
  </si>
  <si>
    <t>Trescott 1966</t>
  </si>
  <si>
    <t>Trescott (1966) estimates of federal government spending</t>
  </si>
  <si>
    <t>S8</t>
  </si>
  <si>
    <t>NFI 1820-1860</t>
  </si>
  <si>
    <t>Net foreign investment estimates from North (1960)</t>
  </si>
  <si>
    <t>S9</t>
  </si>
  <si>
    <t>NFI 1869-1899</t>
  </si>
  <si>
    <t>Net foreign investment estimates from Simon (1960)</t>
  </si>
  <si>
    <t>S10</t>
  </si>
  <si>
    <t>NFI 1900-1928</t>
  </si>
  <si>
    <t>Net foreign investment estimates from US Department of Commerce (1975)</t>
  </si>
  <si>
    <t>S11</t>
  </si>
  <si>
    <t>Population</t>
  </si>
  <si>
    <t>Population estimates</t>
  </si>
  <si>
    <t>S12</t>
  </si>
  <si>
    <t>Weiss 1993 Table A2</t>
  </si>
  <si>
    <t>Weiss (1993) estimates of nominal GDP and components and GDP deflator</t>
  </si>
  <si>
    <t>S13</t>
  </si>
  <si>
    <t>Weiss 1993 Table A3</t>
  </si>
  <si>
    <t>Weiss (1993) estimates of real GDP and components</t>
  </si>
  <si>
    <t>S14</t>
  </si>
  <si>
    <t>Gallman (1966) Table A-1</t>
  </si>
  <si>
    <t>Gallman (1966) GDP estimates</t>
  </si>
  <si>
    <t>S15</t>
  </si>
  <si>
    <t>Gallman (2000) Table 1.3</t>
  </si>
  <si>
    <t>Gallman (2000) GDP estimates</t>
  </si>
  <si>
    <t>S16</t>
  </si>
  <si>
    <t>Gallman (1966) Table A-2</t>
  </si>
  <si>
    <t>Gallman (1966) consumption spending estimates</t>
  </si>
  <si>
    <t>S17</t>
  </si>
  <si>
    <t>Weiss 1975 Table 53</t>
  </si>
  <si>
    <t>Weiss (1975) estimates of service flows to consumers</t>
  </si>
  <si>
    <t>S18</t>
  </si>
  <si>
    <t>Gallman-Weiss Tables</t>
  </si>
  <si>
    <t>Gallman and Weiss (1969) data on service flows and deflators</t>
  </si>
  <si>
    <t>S19</t>
  </si>
  <si>
    <t>Rhode Tables 1 &amp; 3</t>
  </si>
  <si>
    <t>Rhode (2002) version of Gallman's annual GDP in current dollars</t>
  </si>
  <si>
    <t>S20</t>
  </si>
  <si>
    <t>Rhode Table 3</t>
  </si>
  <si>
    <t>Rhode (2002) version of Gallman's annual GDP in 1860 dollars</t>
  </si>
  <si>
    <t>S21</t>
  </si>
  <si>
    <t>Olney durables</t>
  </si>
  <si>
    <t>Olney (1989) estimates of consumer durables spending</t>
  </si>
  <si>
    <t>S22</t>
  </si>
  <si>
    <t>Gallman agriculture</t>
  </si>
  <si>
    <t>Gallman (1966) estimates of agricultural output</t>
  </si>
  <si>
    <t>S23</t>
  </si>
  <si>
    <t>Kendrick GNP-GDP</t>
  </si>
  <si>
    <t>Kendrick (1961) estimates of GNP and GDP</t>
  </si>
  <si>
    <t>S24</t>
  </si>
  <si>
    <t>Kendrick government</t>
  </si>
  <si>
    <t>Kendrick (1961) total (federal, state and local) government purchases</t>
  </si>
  <si>
    <t>S25</t>
  </si>
  <si>
    <t>HSUS govt to Kendrick govt</t>
  </si>
  <si>
    <t>Historical Statistics of the U.S. (2006) federal expenditures, converted to total (federal, state and local) expenditures</t>
  </si>
  <si>
    <t>S26</t>
  </si>
  <si>
    <t>Weiss 1975 table 72</t>
  </si>
  <si>
    <t>Weiss (1975) estimates of value added by government</t>
  </si>
  <si>
    <t>Sheet S1</t>
  </si>
  <si>
    <t>Real GDP, nominal GDP, GDP deflator</t>
  </si>
  <si>
    <t>Downloaded from www.bea.gov</t>
  </si>
  <si>
    <t>Estimates of August 21,2021</t>
  </si>
  <si>
    <t>GDP in billions of dollars</t>
  </si>
  <si>
    <t>Deflator</t>
  </si>
  <si>
    <t>S2 - David-Solar raw data</t>
  </si>
  <si>
    <t>Sheet E2</t>
  </si>
  <si>
    <t>David and Solar CPI</t>
  </si>
  <si>
    <t>1859/60 = 100</t>
  </si>
  <si>
    <t>Source: David and Solar (1977),  pp. 16-17</t>
  </si>
  <si>
    <t>Year</t>
  </si>
  <si>
    <t>Index</t>
  </si>
  <si>
    <t>level</t>
  </si>
  <si>
    <t>S3 - Davis 2004 IIP</t>
  </si>
  <si>
    <t>Sheet S3</t>
  </si>
  <si>
    <t>Index of Industrial Production,  1849/1850 = 100</t>
  </si>
  <si>
    <t>Downloaded from http://www.nber.org/data/industrial-production-index/</t>
  </si>
  <si>
    <t>Column 2,  Davis (2004), Table III, p. 1189 (downloaded from http://www.nber.org/data/industrial-production-index/)</t>
  </si>
  <si>
    <t>Column 3,  (7/12)*year t +(5/12)*year t+1</t>
  </si>
  <si>
    <t>Calendar year</t>
  </si>
  <si>
    <t>Census year</t>
  </si>
  <si>
    <t>S4 - Mancall and Weiss raw data</t>
  </si>
  <si>
    <t>Sheet S4</t>
  </si>
  <si>
    <t>Gross Domestic Product per capita and its components, 1700 to 1800</t>
  </si>
  <si>
    <t>1840 dollars</t>
  </si>
  <si>
    <t>Source: Mancall and Weiss (1999), Table 2</t>
  </si>
  <si>
    <t>GDP per capita</t>
  </si>
  <si>
    <t>Food per capita</t>
  </si>
  <si>
    <t>Firewood per capita</t>
  </si>
  <si>
    <t>Agricultural exports per capita</t>
  </si>
  <si>
    <t>Shelter per capita</t>
  </si>
  <si>
    <t>Nonagricultural output per capita</t>
  </si>
  <si>
    <t>Nonagricultural output + two-thirds of firewood</t>
  </si>
  <si>
    <t>Nonagricultural output + two-thirds of firewood
(% of GDP)</t>
  </si>
  <si>
    <t>Agricultural output + shelter + one-third of firewood
(% of GDP)</t>
  </si>
  <si>
    <t>Average annual growth rate of column J</t>
  </si>
  <si>
    <t>Note: Gallman (1966) estimates that 1/3 of firewood was consumed on farms and he allocates this to agricultural output.  We do the same here.</t>
  </si>
  <si>
    <t>S5 - McCusker Table 2</t>
  </si>
  <si>
    <t>Sheet S5</t>
  </si>
  <si>
    <t>Gross Domestic Product, population and Consumer Price Index, 1650 to 1800</t>
  </si>
  <si>
    <t>Source: McCusker (2000), Table 2</t>
  </si>
  <si>
    <t>GDP
(thousands of dollars,
1840 prices)</t>
  </si>
  <si>
    <t>Population
(thousands)</t>
  </si>
  <si>
    <t>Consumer Price Index
(1840 = 100)</t>
  </si>
  <si>
    <t>S6-Trescott 1960</t>
  </si>
  <si>
    <t>Sheet S6</t>
  </si>
  <si>
    <t>Federal Purchases of Goods and Services, 1811-1860</t>
  </si>
  <si>
    <t>Source: Trescott (1960), Table 13</t>
  </si>
  <si>
    <t>All figures are in millions of current dollars</t>
  </si>
  <si>
    <t>Note: "Figures for 1790-1842 are for calendar years; 1843 figure is January-June; all subsequent figures are fiscal year ending June 30</t>
  </si>
  <si>
    <t>Compensation</t>
  </si>
  <si>
    <t>Construction</t>
  </si>
  <si>
    <t>Other purchases</t>
  </si>
  <si>
    <t>Less: Sales</t>
  </si>
  <si>
    <t>Net Purchases</t>
  </si>
  <si>
    <t>S7-Trescott 1966</t>
  </si>
  <si>
    <t>Sheet S7</t>
  </si>
  <si>
    <t>Federal Payments, Cash Flow, 1861-1875</t>
  </si>
  <si>
    <t>Source: Trescott (1966), Table 2A</t>
  </si>
  <si>
    <t>Note: all figures are fiscal year ending June 30</t>
  </si>
  <si>
    <t>Purchases of goods or services (net)</t>
  </si>
  <si>
    <t>Total net federal purchases</t>
  </si>
  <si>
    <t>S8-NFI 1820-1860</t>
  </si>
  <si>
    <t>Sheet S8</t>
  </si>
  <si>
    <t>Net Factor Income (NFI), 1820-1860</t>
  </si>
  <si>
    <t>Sources:</t>
  </si>
  <si>
    <t>NFI:North (1960a), Table B-5</t>
  </si>
  <si>
    <t>Terms of Trade: North (1961b), Table O-VIII</t>
  </si>
  <si>
    <t>Note: all years are fiscal years, July 1 to June 30</t>
  </si>
  <si>
    <t>NFI,
(millions of current dollars)</t>
  </si>
  <si>
    <t>Terms of Trade
(1830 = 100)</t>
  </si>
  <si>
    <t>Terms of Trade
(1860 = 100)</t>
  </si>
  <si>
    <t>NFI,
(millions of 1860 dollars)</t>
  </si>
  <si>
    <t>NFI,
(billions of 1860 dollars)</t>
  </si>
  <si>
    <t>S9 -  NFI 1869-1899</t>
  </si>
  <si>
    <t>Sheet S9</t>
  </si>
  <si>
    <t>Net Factor Income (NFI), 1869-1899</t>
  </si>
  <si>
    <t>Source: Simon (1961), Table 27, Line 25 (for NFI), Table 6 (export price index), Table 67(import price index)</t>
  </si>
  <si>
    <t>Price indexes (1860 = 100)</t>
  </si>
  <si>
    <t>Exports</t>
  </si>
  <si>
    <t>Imports</t>
  </si>
  <si>
    <t>Terms of trade</t>
  </si>
  <si>
    <t>S10 - NFI 1900-1909</t>
  </si>
  <si>
    <t>Sheet S10</t>
  </si>
  <si>
    <t>Net Factor Income (NFI), 1900-1928</t>
  </si>
  <si>
    <t>Source: Historical Statistics (2006), Series Ee8, Ee9 and Ee10, respectively</t>
  </si>
  <si>
    <t>Investment income, receipts of U.S. assets abroad
(Millions of dollars)</t>
  </si>
  <si>
    <t>Payments on foreign assets in the United States
(Millions of dollars)</t>
  </si>
  <si>
    <t>Investment income, net
(Millions of dollars)</t>
  </si>
  <si>
    <t>Investment income, net
(Billions of dollars)</t>
  </si>
  <si>
    <t>S11a -Population 1790 to 1900</t>
  </si>
  <si>
    <t>Sheet S11</t>
  </si>
  <si>
    <t>Population Estimates</t>
  </si>
  <si>
    <t>Midyear, in thousands</t>
  </si>
  <si>
    <t>Sources: see bottom of sheet</t>
  </si>
  <si>
    <t>Resident Population</t>
  </si>
  <si>
    <t>Sources</t>
  </si>
  <si>
    <r>
      <rPr>
        <b/>
        <sz val="13"/>
        <color indexed="8"/>
        <rFont val="Verdana"/>
        <family val="2"/>
      </rPr>
      <t>Series Aa9</t>
    </r>
    <r>
      <rPr>
        <sz val="13"/>
        <color indexed="8"/>
        <rFont val="Verdana"/>
        <family val="2"/>
      </rPr>
      <t>. 1790–1899: figures for years ending in zero are reported in U.S. Bureau of the Census, </t>
    </r>
    <r>
      <rPr>
        <i/>
        <sz val="13"/>
        <color indexed="8"/>
        <rFont val="Verdana"/>
        <family val="2"/>
      </rPr>
      <t>Historical Statistics of the United States: Colonial Times to 1957</t>
    </r>
    <r>
      <rPr>
        <sz val="13"/>
        <color indexed="8"/>
        <rFont val="Verdana"/>
        <family val="2"/>
      </rPr>
      <t>(1960), p. 7</t>
    </r>
  </si>
  <si>
    <r>
      <rPr>
        <sz val="13"/>
        <color indexed="8"/>
        <rFont val="Verdana"/>
        <family val="2"/>
      </rPr>
      <t xml:space="preserve">For nondecennial years during the 1790–1899, figures are computed as the sum of the population and the net change as explained in the discusion of Table Aa9-14 of the </t>
    </r>
    <r>
      <rPr>
        <i/>
        <sz val="13"/>
        <color indexed="8"/>
        <rFont val="Verdana"/>
        <family val="2"/>
      </rPr>
      <t>Historical Statisitics of the United States</t>
    </r>
    <r>
      <rPr>
        <sz val="13"/>
        <color indexed="8"/>
        <rFont val="Verdana"/>
        <family val="2"/>
      </rPr>
      <t>, https://hsus.cambridge.org/HSUSWeb/toc/showChapter.do?id=Aa</t>
    </r>
  </si>
  <si>
    <t>DATA FOR 1900 TO 1928</t>
  </si>
  <si>
    <t>Historical National Population Estimates:  July 1, 1900 to July 1, 1999</t>
  </si>
  <si>
    <t xml:space="preserve">Source: Population Estimates Program, Population Division, U.S. Census Bureau  </t>
  </si>
  <si>
    <t>Internet Release Date:  April 11, 2000</t>
  </si>
  <si>
    <t>Revised date:  June 28, 2000</t>
  </si>
  <si>
    <t>National</t>
  </si>
  <si>
    <t>Date</t>
  </si>
  <si>
    <t xml:space="preserve">NOTE:  </t>
  </si>
  <si>
    <t>National population data for the years 1900 to 1949 exclude the</t>
  </si>
  <si>
    <t>population residing in Alaska and Hawaii.  National population data for the</t>
  </si>
  <si>
    <t xml:space="preserve">years 1940 to 1979 cover the resident population plus Armed Forces overseas. </t>
  </si>
  <si>
    <t>National population data for all other years cover only the resident</t>
  </si>
  <si>
    <t>population.  Estimates of the population including Armed Forces</t>
  </si>
  <si>
    <t>overseas are as follows:</t>
  </si>
  <si>
    <t>THESE ARE THE DATA USED</t>
  </si>
  <si>
    <t>National population data for the years 1900 to 1929 are only available</t>
  </si>
  <si>
    <t>rounded to the nearest thousand.</t>
  </si>
  <si>
    <t>Data for this table comes from Current Population Reports, Series P-25, Nos.</t>
  </si>
  <si>
    <t>311, 917, 1095, and our National Population Estimates web page.  All</t>
  </si>
  <si>
    <t>Population Division publications may be obtained by writing to Population</t>
  </si>
  <si>
    <t>Division, U.S. Bureau of the Census, Washington, D.C. 20233; calling the</t>
  </si>
  <si>
    <t>Statistical Information Staff at (301)457-2422; or by e-mailing a message to</t>
  </si>
  <si>
    <t>POP@CENSUS.GOV (please include telephone number).</t>
  </si>
  <si>
    <t>DATA FOR 1929 TO 2020</t>
  </si>
  <si>
    <t>FRED Graph Observations</t>
  </si>
  <si>
    <t>Federal Reserve Economic Data</t>
  </si>
  <si>
    <t>Link: https://fred.stlouisfed.org</t>
  </si>
  <si>
    <t>Help: https://fredhelp.stlouisfed.org</t>
  </si>
  <si>
    <t>Economic Research Division</t>
  </si>
  <si>
    <t>Federal Reserve Bank of St. Louis</t>
  </si>
  <si>
    <t>B230RC0A052NBEA</t>
  </si>
  <si>
    <t>Population, Thousands, Annual, Not Seasonally Adjusted</t>
  </si>
  <si>
    <t>Frequency: Annual</t>
  </si>
  <si>
    <t>observation_date</t>
  </si>
  <si>
    <t>S12 - Weiss 1993 Table A2</t>
  </si>
  <si>
    <t>Sheet S12</t>
  </si>
  <si>
    <t>Nominal Gross Domestic Product and Implicit Price Deflators, 1800 to 1860</t>
  </si>
  <si>
    <t>Source: Weiss (1993), Table A2</t>
  </si>
  <si>
    <t>1. Levels ($000's of current dollars)</t>
  </si>
  <si>
    <t>Narrow GDP</t>
  </si>
  <si>
    <t>Broad GDP</t>
  </si>
  <si>
    <t>GNP</t>
  </si>
  <si>
    <t>Year as reported in Weiss</t>
  </si>
  <si>
    <t>Agricultural output</t>
  </si>
  <si>
    <t>Value of Shelter</t>
  </si>
  <si>
    <t>All other output</t>
  </si>
  <si>
    <t>Farm improvements</t>
  </si>
  <si>
    <t>Home Mfg.</t>
  </si>
  <si>
    <t>Broad</t>
  </si>
  <si>
    <t>Narrow</t>
  </si>
  <si>
    <t>2. Implicit Price Deflators (1840 = 100)</t>
  </si>
  <si>
    <t>S13 -Weiss 1993 Table A3</t>
  </si>
  <si>
    <t>Sheet S13</t>
  </si>
  <si>
    <t>Gross Domestic Product and Its Components, 1800 to 1860</t>
  </si>
  <si>
    <t>$000's in 1840 prices</t>
  </si>
  <si>
    <t>Source: Weiss (1993), Table A3</t>
  </si>
  <si>
    <t>S14-Gallman (1966) Table A-1</t>
  </si>
  <si>
    <t>Sheet S14</t>
  </si>
  <si>
    <t>Gross National Product, Variant 1, Single-Year Estimates and Overlapping Decade Averages, Current Prices, 1860 prices, and Implicit Price Index, 1834-1908</t>
  </si>
  <si>
    <t>All figures in billions of dollars</t>
  </si>
  <si>
    <t>Source: Gallman (1966), Table A-1, p. 26</t>
  </si>
  <si>
    <t>Year or decade</t>
  </si>
  <si>
    <t>GNP, 
Current prices</t>
  </si>
  <si>
    <t>GNP, 
1860 prices</t>
  </si>
  <si>
    <t>Implicit Price Index</t>
  </si>
  <si>
    <t>Implicit Price Index
(computed from nominal and real)</t>
  </si>
  <si>
    <t>1834-43</t>
  </si>
  <si>
    <t>1839-48</t>
  </si>
  <si>
    <t>1844-53</t>
  </si>
  <si>
    <t>1849-58</t>
  </si>
  <si>
    <t>1869-78</t>
  </si>
  <si>
    <t>1874-83</t>
  </si>
  <si>
    <t>1879-88</t>
  </si>
  <si>
    <t>1884-93</t>
  </si>
  <si>
    <t>1889-98</t>
  </si>
  <si>
    <t>1894-1903</t>
  </si>
  <si>
    <t>1899-1908</t>
  </si>
  <si>
    <t>Note 1: GNP "Excludes the value of improvements made to farm land with farm construction materials", "value added by home manufacturing", and "changes in inventories"</t>
  </si>
  <si>
    <t>Note 2: 1834-59 are Census years; 1869-1908 are calendar years</t>
  </si>
  <si>
    <t>S15-Gallman (2000) Table 1.3</t>
  </si>
  <si>
    <t>Sheet S15</t>
  </si>
  <si>
    <t>U.S. gross national product, current prices and prices of 1860, 1774-1909</t>
  </si>
  <si>
    <t>Source: Gallman (2000), Table 1.3, Panel A</t>
  </si>
  <si>
    <t>Change in inventories as percent of 1966 estimate</t>
  </si>
  <si>
    <t>Years</t>
  </si>
  <si>
    <t>Current prices</t>
  </si>
  <si>
    <t>Price index
1860 = 100</t>
  </si>
  <si>
    <t>1860 prices</t>
  </si>
  <si>
    <t>GNP, 1860 prices
Value from Rhode (2002), Table 1</t>
  </si>
  <si>
    <t>GNP, current prices
Value from Rhode (2002), Table 3</t>
  </si>
  <si>
    <t>Percent difference from 1966 estimates to 2000 estimates</t>
  </si>
  <si>
    <t>Percent difference from 1966 estimates to 2000 estimates
Decade averages</t>
  </si>
  <si>
    <t>1834/43</t>
  </si>
  <si>
    <t>1839/48</t>
  </si>
  <si>
    <t>1844/53</t>
  </si>
  <si>
    <t>1849/58</t>
  </si>
  <si>
    <t>1869/78</t>
  </si>
  <si>
    <t>1874/83</t>
  </si>
  <si>
    <t>1879/88</t>
  </si>
  <si>
    <t>1884/93</t>
  </si>
  <si>
    <t>1889/98</t>
  </si>
  <si>
    <t>1894/03</t>
  </si>
  <si>
    <t>1899/08</t>
  </si>
  <si>
    <t>S16-Gallman (1966) Table A-2</t>
  </si>
  <si>
    <t>Sheet S16</t>
  </si>
  <si>
    <t>Flows of Goods to consumers</t>
  </si>
  <si>
    <t>Source: Gallman (1966), Table A-2, p. 27</t>
  </si>
  <si>
    <t>Panel A: Current Prices</t>
  </si>
  <si>
    <t>Perishables</t>
  </si>
  <si>
    <t>Semi-durables</t>
  </si>
  <si>
    <t>Durables</t>
  </si>
  <si>
    <t>Services</t>
  </si>
  <si>
    <t>Total
(reported by Gallman)</t>
  </si>
  <si>
    <t>Total
(adding columns)</t>
  </si>
  <si>
    <t>Deflator
(reported by Gallman)</t>
  </si>
  <si>
    <t>Deflator
(calculated directly)</t>
  </si>
  <si>
    <t>Panel B: Prices of 1860</t>
  </si>
  <si>
    <t>Sheet S17</t>
  </si>
  <si>
    <t>Service Sector flows</t>
  </si>
  <si>
    <t>All figures in millions of current dollars</t>
  </si>
  <si>
    <t>Source: Weiss (1975), Table 53, p. 167</t>
  </si>
  <si>
    <t>Census years</t>
  </si>
  <si>
    <t>Sector total value of product</t>
  </si>
  <si>
    <t>Flow of services to consumers</t>
  </si>
  <si>
    <t>Flow of intermediate services</t>
  </si>
  <si>
    <t>S18-Gallman-Weiss Tables</t>
  </si>
  <si>
    <t>Sheet S18</t>
  </si>
  <si>
    <t>Value Added, by the Service Sector, U.S., 1839-1899</t>
  </si>
  <si>
    <t>Source: Gallman and Weiss (1969), Table A-1 and Table 3</t>
  </si>
  <si>
    <t>Table A-1, p. 306</t>
  </si>
  <si>
    <t>Industry</t>
  </si>
  <si>
    <t>Trade</t>
  </si>
  <si>
    <t>Transportation and public utilities</t>
  </si>
  <si>
    <t>Finance</t>
  </si>
  <si>
    <t>Professional</t>
  </si>
  <si>
    <t>Personal</t>
  </si>
  <si>
    <t>Government</t>
  </si>
  <si>
    <t>Education</t>
  </si>
  <si>
    <t>Hand trades</t>
  </si>
  <si>
    <t>Shelter</t>
  </si>
  <si>
    <t>Total</t>
  </si>
  <si>
    <t>Table 3, p. 292</t>
  </si>
  <si>
    <t>Price indexes, 1839-1899, Base 1860, line 11</t>
  </si>
  <si>
    <t>Service sectors</t>
  </si>
  <si>
    <t>Real values:</t>
  </si>
  <si>
    <t>Millions of dollars, 1860 prices</t>
  </si>
  <si>
    <t>S19-Rhode Table 1 &amp; 2</t>
  </si>
  <si>
    <t>Sheet S19</t>
  </si>
  <si>
    <t>Gallman's Annual National Product Series in Constant 1860 Prices.</t>
  </si>
  <si>
    <t>All figures in millions of 1860 dollars</t>
  </si>
  <si>
    <t>Source: Rhode (2002), Tables 1 and 2</t>
  </si>
  <si>
    <t>Value of Goods Flowing to Consumers</t>
  </si>
  <si>
    <t xml:space="preserve">Capital Formation, Less Changes in Inventories </t>
  </si>
  <si>
    <t>Gross</t>
  </si>
  <si>
    <t>Inventory</t>
  </si>
  <si>
    <t xml:space="preserve">National </t>
  </si>
  <si>
    <t>Changes</t>
  </si>
  <si>
    <t>Manufactured</t>
  </si>
  <si>
    <t>Gross New Construction</t>
  </si>
  <si>
    <t xml:space="preserve">Changes in </t>
  </si>
  <si>
    <t xml:space="preserve">Total </t>
  </si>
  <si>
    <t>Product</t>
  </si>
  <si>
    <t>Semi-</t>
  </si>
  <si>
    <t xml:space="preserve">Producers' </t>
  </si>
  <si>
    <t>Claims Against</t>
  </si>
  <si>
    <t>Capital</t>
  </si>
  <si>
    <t>(excl. Inv.</t>
  </si>
  <si>
    <t>(incl. Inv.</t>
  </si>
  <si>
    <t>Goods</t>
  </si>
  <si>
    <t>Consumption</t>
  </si>
  <si>
    <t>Railroad</t>
  </si>
  <si>
    <t>Canal</t>
  </si>
  <si>
    <t>Other</t>
  </si>
  <si>
    <t>Foreigners</t>
  </si>
  <si>
    <t>Formation</t>
  </si>
  <si>
    <t>Changes)</t>
  </si>
  <si>
    <t>S20-Rhode Table 3</t>
  </si>
  <si>
    <t>Sheet S20</t>
  </si>
  <si>
    <t>Gallman's Annual National Product Series in Current Prices</t>
  </si>
  <si>
    <t>Source: Rhode (2002), Table 3</t>
  </si>
  <si>
    <t>New</t>
  </si>
  <si>
    <t>Claims Ag'st</t>
  </si>
  <si>
    <t>S21-Olney durables</t>
  </si>
  <si>
    <t>Sheet S21</t>
  </si>
  <si>
    <t>Expenditures for Consumer Durable Goods</t>
  </si>
  <si>
    <t>Source: Olney (1989), Tables 1 and 2</t>
  </si>
  <si>
    <t>Durables spending
(millions of current dollars)</t>
  </si>
  <si>
    <t>Durables spending
(millions of 1972 dollars)</t>
  </si>
  <si>
    <t>Deflator
(1972 = 100)</t>
  </si>
  <si>
    <t>Deflator
(1869 = 1)</t>
  </si>
  <si>
    <t>Deflator
(1860 = 1)</t>
  </si>
  <si>
    <t>Durables spending
(millions of 1860 dollars)</t>
  </si>
  <si>
    <t>S22-Gallman agriculture</t>
  </si>
  <si>
    <t>Sheet S22</t>
  </si>
  <si>
    <t>Value added in Agriculture</t>
  </si>
  <si>
    <t>Gallman (1960), Table A-2, pp. 46-51</t>
  </si>
  <si>
    <t>1. Current prices, millions of dollars</t>
  </si>
  <si>
    <t>Gross value added</t>
  </si>
  <si>
    <t>Improvements to land</t>
  </si>
  <si>
    <t>Home manufactures</t>
  </si>
  <si>
    <t>Gross value added, less improvements and home manufactures</t>
  </si>
  <si>
    <t>2. 1879 prices, millions of dollars</t>
  </si>
  <si>
    <t>2. Implicit deflator, 1879 = 1</t>
  </si>
  <si>
    <t>improvements to land</t>
  </si>
  <si>
    <t>home manufactures</t>
  </si>
  <si>
    <t>NA</t>
  </si>
  <si>
    <t>S-23 Kendrick GNP-GDP</t>
  </si>
  <si>
    <t>Sheet S23</t>
  </si>
  <si>
    <t>Kendrick GDP and GNP</t>
  </si>
  <si>
    <t>GNP: Kendrick (1961), Table A-II</t>
  </si>
  <si>
    <t>GDP: Kendrick (1961), Table A-III</t>
  </si>
  <si>
    <t>ADJUSTED VALUES</t>
  </si>
  <si>
    <t>GNP
(millions of current dollars)</t>
  </si>
  <si>
    <t>GNP
(millions of 1929 dollars)</t>
  </si>
  <si>
    <t>Implicit GNP deflator
(1929 = 1)</t>
  </si>
  <si>
    <t>GDP
(millions of current dollars)</t>
  </si>
  <si>
    <t>GDP
(millions of 1929 dollars)</t>
  </si>
  <si>
    <t>GDPa
(millions of current dollars)</t>
  </si>
  <si>
    <t>GDPa
(millions of 1929 dollars)</t>
  </si>
  <si>
    <t xml:space="preserve">Kendrick Table A-II publishes his GNP numbers in current dollars and 1929 dollars.  </t>
  </si>
  <si>
    <t>Kendrick Table A-III publishes his GDP numbers in 1929 dollars.  He does not publish his GDP numbers in current dollars.</t>
  </si>
  <si>
    <t>To get GDP in current dollars, we multiply the GDP in 1929 dollars times the GNP deflator.</t>
  </si>
  <si>
    <t xml:space="preserve">In 2013, The BEA published a revision of the their entire GDP series back to 1929.  </t>
  </si>
  <si>
    <t>The value of GDP for 1929 in the new seiries is $104.6 billion an increase from the $103.6 billion that it was before.</t>
  </si>
  <si>
    <t>To make the series consistent going back, we multiply the nominal and real GDP in this series by the ration of 104.6/103.6.</t>
  </si>
  <si>
    <t>S24-Kendrick government</t>
  </si>
  <si>
    <t>Sheet S24</t>
  </si>
  <si>
    <t>Kendrick total (federal, state and local) spending</t>
  </si>
  <si>
    <t>Sources: GNP: Kendrick (1961), Table A-II</t>
  </si>
  <si>
    <t>Real 1929</t>
  </si>
  <si>
    <t>Nominal</t>
  </si>
  <si>
    <t>Real 1860 computed as (column B /2)</t>
  </si>
  <si>
    <t>S25-Weiss 1975 table 72</t>
  </si>
  <si>
    <t>Sheet S26</t>
  </si>
  <si>
    <t>Value added by government</t>
  </si>
  <si>
    <t>Source: Weiss (1975), Table 72</t>
  </si>
  <si>
    <t>Thousands of current dollars</t>
  </si>
  <si>
    <t>Federal government</t>
  </si>
  <si>
    <t>State &amp; local government</t>
  </si>
  <si>
    <t>Total government</t>
  </si>
  <si>
    <t>Federal government value added as percent of total value added</t>
  </si>
  <si>
    <t>Guide to computation (E) sheets</t>
  </si>
  <si>
    <t>This file consists of 11 worksheets containing the calculations made to produce the annual GDP series presented in Louis D. Johnston and Samuel H. Williamson, "The Annual Real and Nominal GDP for the United States, 1790 - Present."</t>
  </si>
  <si>
    <t>E1</t>
  </si>
  <si>
    <t>Weiss replication</t>
  </si>
  <si>
    <t>Replication of benchmarks presented in Weiss (1993)</t>
  </si>
  <si>
    <t>E2</t>
  </si>
  <si>
    <t>Benchmarks, 1793-1829</t>
  </si>
  <si>
    <t>Benchmark estimates of real GDP, 1793 to 1829</t>
  </si>
  <si>
    <t>E3</t>
  </si>
  <si>
    <t>Benchmarks, 1839-1859</t>
  </si>
  <si>
    <t>Benchmark estimates of real GDP, 1839 to 1859</t>
  </si>
  <si>
    <t>E4</t>
  </si>
  <si>
    <t>Benchmarks, 1869-1909</t>
  </si>
  <si>
    <t>Benchmark estimates of real GDP, 1869 to 1909</t>
  </si>
  <si>
    <t>E5</t>
  </si>
  <si>
    <t>GDP deflator 1790-1909</t>
  </si>
  <si>
    <t>Calculation of annual GDP deflator estimates, 1790 to 1909</t>
  </si>
  <si>
    <t>E6</t>
  </si>
  <si>
    <t>GDP and Ag share</t>
  </si>
  <si>
    <t>Sheet that brings all the benchmarks of GDP and agriculture's share of GDP together in one sheet</t>
  </si>
  <si>
    <t>E7</t>
  </si>
  <si>
    <t>Real GDP 1790-1799</t>
  </si>
  <si>
    <t>Calculation of annual real GDP estimates, 1793-1800</t>
  </si>
  <si>
    <t>E8</t>
  </si>
  <si>
    <t>Real GDP 1799-1869</t>
  </si>
  <si>
    <t>Calculation of annual real GDP estimates, 1800-1869</t>
  </si>
  <si>
    <t>E9</t>
  </si>
  <si>
    <t>Real GDP 1869-1909</t>
  </si>
  <si>
    <t>Calculation of annual real GDP estimates, 1869 to 1909</t>
  </si>
  <si>
    <t>E10</t>
  </si>
  <si>
    <t>GDP, 1790-1909</t>
  </si>
  <si>
    <t>Summary sheet of annual estimates of real GDP, nominal GDP and GDP deflator, 1860 base year</t>
  </si>
  <si>
    <t>E11</t>
  </si>
  <si>
    <t>1790-2020</t>
  </si>
  <si>
    <t>References: double-click and scroll to see all references</t>
  </si>
  <si>
    <t>Copyright 2023, Louis Johnston and Samuel H. Williamson, "The Annual Real and Nominal GDP for the United States, 1790 - Present." https://www.measuringworth.com/datasets/usgdp/</t>
  </si>
  <si>
    <t>E1-Weiss replication</t>
  </si>
  <si>
    <t>Sheet E1</t>
  </si>
  <si>
    <t>Replication of Weiss's Benchmarks presented in Weiss (1993)</t>
  </si>
  <si>
    <t>billions of dollars</t>
  </si>
  <si>
    <t>Note: 1839, 1849 and 1859 are census years (June 1 of year ending in 9 to May 31 of year ending in 0)</t>
  </si>
  <si>
    <t>Gallman (1966) GNP, 
Current prices</t>
  </si>
  <si>
    <t>Net factor income
Current prices</t>
  </si>
  <si>
    <t>Gallman GDP, 
Current prices</t>
  </si>
  <si>
    <t>Weiss GDP, 
Current prices</t>
  </si>
  <si>
    <t>Gallman (1966) GNP, 
1860 prices</t>
  </si>
  <si>
    <t>Net factor income
1860 prices</t>
  </si>
  <si>
    <t>Gallman GDP, 
1860 prices</t>
  </si>
  <si>
    <t>Implicit deflator
1840 = 100</t>
  </si>
  <si>
    <t>Gallman GDP, 
1840 prices</t>
  </si>
  <si>
    <t>Weiss GDP, 
1840 prices</t>
  </si>
  <si>
    <t>E2-Benchmarks, 1793-1829</t>
  </si>
  <si>
    <t>Real GDP Benchmarks, 1793 - 1859 (census years)</t>
  </si>
  <si>
    <t>Note: Data for census years were collected from June 1 of years ending in 9 through May 31 of years ending in 0.</t>
  </si>
  <si>
    <t>1. GDP and deflator, 1793: McCusker (2000), Table 2</t>
  </si>
  <si>
    <t>2. GDP in 1839 dollars and GDP deflator, 1839 = 100: Weiss (1993)</t>
  </si>
  <si>
    <t>3. GDP deflator, 1860 = 100: Gallman (1966) for 1859; computed by JW for 1793-1829</t>
  </si>
  <si>
    <t>Real GDP
Calendar year 1840 dollars</t>
  </si>
  <si>
    <t>GDP deflator
1840 = 100</t>
  </si>
  <si>
    <t>GDP deflator
1860 = 100</t>
  </si>
  <si>
    <t>Real GDP
Calendar year 1860 dollars</t>
  </si>
  <si>
    <t>E3-Benchmarks, 1839-1859</t>
  </si>
  <si>
    <t>Sheet E3</t>
  </si>
  <si>
    <t>Benchmarks for real GDP and implicit GDP deflator, 1839 - 1859 (census years)</t>
  </si>
  <si>
    <t>1. Current prices (billions of dollars)</t>
  </si>
  <si>
    <t>Flow of services to consumers (including government)
current prices</t>
  </si>
  <si>
    <t>Gallman (1966) GNP, 
Current prices
Excludes change in inventories</t>
  </si>
  <si>
    <t>Gallman (1966) GNP, 
Current prices, adjusted (by JW to
include change in inventories</t>
  </si>
  <si>
    <t>Gallman (1966)</t>
  </si>
  <si>
    <t xml:space="preserve">Weiss (1975) </t>
  </si>
  <si>
    <t>Weiss less government purchases.</t>
  </si>
  <si>
    <t>Johnston-Williamson GNP, 
 less government services</t>
  </si>
  <si>
    <t>Net factor income</t>
  </si>
  <si>
    <t>Federal government purchases- Trescott (1960)</t>
  </si>
  <si>
    <t>Federal government purchases as a percent of total government purchases</t>
  </si>
  <si>
    <t>Total government purchases</t>
  </si>
  <si>
    <t>Johnston-Williamson GNP</t>
  </si>
  <si>
    <t>Johnston-Williamson GDP</t>
  </si>
  <si>
    <t>2. Calendar year 1860 prices (billions of dollars)</t>
  </si>
  <si>
    <t xml:space="preserve"> </t>
  </si>
  <si>
    <t>3. Implicit price indices calculated from data in (1) and (2), calendar year 1860=100</t>
  </si>
  <si>
    <t>Copyright 2023, Louis Johnston and Samuel H. Williamson, "The Annual Real and Nominal GDP for the United States, 1790 - Present." https://www.measuringworth.com/datasets/usgdp/ http://www.eh.net/hmit/gdp/</t>
  </si>
  <si>
    <t>E4-Benchmarks, 1869-1909</t>
  </si>
  <si>
    <t>Sheet E4</t>
  </si>
  <si>
    <t>Benchmarks for real GDP and implicit GDP deflator, 1869 - 1909 (calendar years)</t>
  </si>
  <si>
    <t>Flows of durables to consumers
current prices</t>
  </si>
  <si>
    <t>Gallman (1966) GNP 
(via Rhode (2002))
Current prices
Includes change in inventories</t>
  </si>
  <si>
    <t>Olney (1989)</t>
  </si>
  <si>
    <t>Weiss (1975)</t>
  </si>
  <si>
    <t>Johnston-Williamson GNP, less government purchases</t>
  </si>
  <si>
    <t xml:space="preserve">Net factor income
</t>
  </si>
  <si>
    <t>E5 - GDP deflator 1790-1909</t>
  </si>
  <si>
    <t>Sheet E5</t>
  </si>
  <si>
    <t>Implicit GDP Deflator</t>
  </si>
  <si>
    <t>1790 to 1909</t>
  </si>
  <si>
    <t>1790 to 1868 are census years, 1869 to 1909 are calendar years</t>
  </si>
  <si>
    <t>Johnston-Williamson benchmarks
(calendar year 1860=100)</t>
  </si>
  <si>
    <t>David-Solar (1977) CPI 
(calendar year 1860=100)</t>
  </si>
  <si>
    <t>Ratio of Johnston-Williamson benchmark to David-Solar CPI</t>
  </si>
  <si>
    <t>Annual interpolation of Johnston-Williamson benchmark 
(calendar year 1860=100)</t>
  </si>
  <si>
    <t>E6 - Ag share of GDP 1793-1859</t>
  </si>
  <si>
    <t>Sheet E6</t>
  </si>
  <si>
    <t>Agriculture output plus shelter output 1793-1859</t>
  </si>
  <si>
    <t>Real agricultural output plus shelter
percent of real GDP</t>
  </si>
  <si>
    <t>Real agricultural output plus shelter
Calendar year 1860 dollars</t>
  </si>
  <si>
    <t>GDP: sheets E2 and E3</t>
  </si>
  <si>
    <t>Agriculture/shelter share of GDP: Weiss (1993), Table A-2</t>
  </si>
  <si>
    <t>1799-1859: Weiss (1993), Table A-3</t>
  </si>
  <si>
    <t>E7 -Real GDP 1790-1799</t>
  </si>
  <si>
    <t>Sheet E7</t>
  </si>
  <si>
    <r>
      <rPr>
        <b/>
        <sz val="12"/>
        <color indexed="8"/>
        <rFont val="Times New Roman"/>
        <family val="1"/>
      </rPr>
      <t>Real Gross Domestic Product, narrow version</t>
    </r>
    <r>
      <rPr>
        <b/>
        <vertAlign val="superscript"/>
        <sz val="12"/>
        <color indexed="8"/>
        <rFont val="Times New Roman"/>
        <family val="1"/>
      </rPr>
      <t>*</t>
    </r>
  </si>
  <si>
    <t>Calculations for 1790-1799 (census years)</t>
  </si>
  <si>
    <t>billions of calendar year 1860 dollars</t>
  </si>
  <si>
    <t>Agricultural output plus Value of Shelter</t>
  </si>
  <si>
    <t>GDP*</t>
  </si>
  <si>
    <t>GDP Benchmark</t>
  </si>
  <si>
    <t>Share of agricultural output + shelter in GDP</t>
  </si>
  <si>
    <t>Average annual growth rate for past decade</t>
  </si>
  <si>
    <t>1860 dollars value of share</t>
  </si>
  <si>
    <t>Average annual growth rate between benchmarks</t>
  </si>
  <si>
    <t>1860 dollar value of annual estimates
(applying annual average growth rate between benchmarks)</t>
  </si>
  <si>
    <t>Benchmark</t>
  </si>
  <si>
    <t>Davis IIP</t>
  </si>
  <si>
    <t>Ratio of benchmark to Davis IIP</t>
  </si>
  <si>
    <t>1860 dollar value of index</t>
  </si>
  <si>
    <t>Johnston-Williamson Benchmark</t>
  </si>
  <si>
    <t>Annual values
(sum of agricultural output plus all other output)</t>
  </si>
  <si>
    <t>* GDP not including home production and farm improvements</t>
  </si>
  <si>
    <t>E8 -Real GDP 1799-1869</t>
  </si>
  <si>
    <t>Sheet E8</t>
  </si>
  <si>
    <t>Calculations for 1799-1868 (census years) and 1869 (calendar year)</t>
  </si>
  <si>
    <t>Weiss benchmark</t>
  </si>
  <si>
    <t>Annual values based on average annual growth rates</t>
  </si>
  <si>
    <t>Federal government purchases</t>
  </si>
  <si>
    <t>Weighted average of ratios: Weiss benchmark, less government and net factor income, to Davis IIP</t>
  </si>
  <si>
    <t>Annual values based on Davis IIP</t>
  </si>
  <si>
    <t>E9 -Real GDP 1869-1909</t>
  </si>
  <si>
    <t>Sheet E9</t>
  </si>
  <si>
    <t>Calculations for 1869-1909 (calendar years)</t>
  </si>
  <si>
    <t>GDP</t>
  </si>
  <si>
    <t>Gallman benchmark</t>
  </si>
  <si>
    <t>Consumer durables purchases</t>
  </si>
  <si>
    <t>Weighted average of ratios: Weiss benchmark, less government, net factor income and consumer durables, to Davis IIP</t>
  </si>
  <si>
    <t>E10 - GDP, 1790-1909</t>
  </si>
  <si>
    <t>Sheet E10</t>
  </si>
  <si>
    <t>Real GDP, GDP deflator, nominal GDP</t>
  </si>
  <si>
    <t>1790 - 1909</t>
  </si>
  <si>
    <t>Note: 1790-1868 are census years; 1869-1909 are calendar years</t>
  </si>
  <si>
    <t>Real and nominal GDP in billions</t>
  </si>
  <si>
    <t>Real GDP (calendar year 1860 $)</t>
  </si>
  <si>
    <t>GDP deflator (calendar year 1860 = 100)</t>
  </si>
  <si>
    <t>GDP deflator (calendar year 1929 = 100)</t>
  </si>
  <si>
    <t>Real GDP (calendar year 1909 $)</t>
  </si>
  <si>
    <t>Old Real GDP (calendar year 1929 $)</t>
  </si>
  <si>
    <t>New Real GDP (calendar year 1929 $)</t>
  </si>
  <si>
    <t>Ratio of 1909 dollar value to 1860 dollar value</t>
  </si>
  <si>
    <t>This is from the consruction shown in E5.</t>
  </si>
  <si>
    <t>Ratio of 1929 dollar value to 1909 dollar value</t>
  </si>
  <si>
    <t xml:space="preserve">This is from Kendrick's GDP tables of nominal GDP to GDP (millions of 1929 dollars) S23 </t>
  </si>
  <si>
    <t>"=56003/32229"</t>
  </si>
  <si>
    <t>Ratio of new 1929 dollar  to old 1929 dollar value</t>
  </si>
  <si>
    <t xml:space="preserve">This is the ratio of the new observation of the 1929 GDP in the BEA's data (104.6) to the old observation of the 1929 GDP in the BEA's data (103.63). </t>
  </si>
  <si>
    <t>Sheet E11</t>
  </si>
  <si>
    <r>
      <rPr>
        <b/>
        <sz val="14"/>
        <color indexed="8"/>
        <rFont val="Times New Roman"/>
        <family val="1"/>
      </rPr>
      <t>While these numbers are presented as the result of the computations, we do not believe they are accurate more to</t>
    </r>
    <r>
      <rPr>
        <b/>
        <u/>
        <sz val="14"/>
        <color indexed="8"/>
        <rFont val="Times New Roman"/>
        <family val="1"/>
      </rPr>
      <t xml:space="preserve"> two</t>
    </r>
    <r>
      <rPr>
        <b/>
        <sz val="14"/>
        <color indexed="8"/>
        <rFont val="Times New Roman"/>
        <family val="1"/>
      </rPr>
      <t xml:space="preserve"> significant digits before 1929.</t>
    </r>
  </si>
  <si>
    <t>Nominal GDP
(billions of dollars)</t>
  </si>
  <si>
    <t>Nominal GDP per capita (dollars)</t>
  </si>
  <si>
    <t>Link to all Pages</t>
  </si>
  <si>
    <t>GDP in billions of chained 2017 dollars</t>
  </si>
  <si>
    <t>BEA estimates 1929-2022</t>
  </si>
  <si>
    <t>GDP
(billions of 2017 dollars)</t>
  </si>
  <si>
    <t>Real GDP
(billions of 2017 dollars)</t>
  </si>
  <si>
    <t>GDP deflator
(base year = 2017)</t>
  </si>
  <si>
    <t>Real GDP per capita
(2017 dollars)</t>
  </si>
  <si>
    <t>Calculations that convert data in 1860 prices to 2017 prices</t>
  </si>
  <si>
    <t>Real GDP (calendar year 2017 $)</t>
  </si>
  <si>
    <t>The 1929 value of the gdp deflator is 8.852</t>
  </si>
  <si>
    <t>1861*</t>
  </si>
  <si>
    <t>1862*</t>
  </si>
  <si>
    <t>1863*</t>
  </si>
  <si>
    <t>1865*</t>
  </si>
  <si>
    <t>1866*</t>
  </si>
  <si>
    <t>1867*</t>
  </si>
  <si>
    <t>1868*</t>
  </si>
  <si>
    <t>1869*</t>
  </si>
  <si>
    <t>1870/*</t>
  </si>
  <si>
    <t>1871*</t>
  </si>
  <si>
    <t>1872*</t>
  </si>
  <si>
    <t>1873*</t>
  </si>
  <si>
    <t>1875*</t>
  </si>
  <si>
    <t>1874*</t>
  </si>
  <si>
    <t>1876*</t>
  </si>
  <si>
    <t>1877*</t>
  </si>
  <si>
    <t>1878*</t>
  </si>
  <si>
    <t>1879*</t>
  </si>
  <si>
    <t>*-The population for the years from 1860 to 1880 are adjusted for the impact of 708,628 excess deaths because of the Civil War. An essay about this is forth coming.</t>
  </si>
  <si>
    <t>2017 base year</t>
  </si>
  <si>
    <t>1790 to 2022</t>
  </si>
  <si>
    <t>GDP deflator (calendar year 2017 = 100)</t>
  </si>
  <si>
    <t>Final estimates of annual real GDP, nominal GDP, GDP deflator (2017 dollars), population and real per capita GDP</t>
  </si>
  <si>
    <t>To convert to the 1929 GDP values in millions to 2017 values in billions we divide by the GDP deflator for 1929 times 10.</t>
  </si>
  <si>
    <t>Real GDP, Nominal GDP, GDP deflator</t>
  </si>
  <si>
    <t>Real GDP per capita, Nominal GDP per capita</t>
  </si>
  <si>
    <t>Ratio of 2017 deflator to the 1929 deflator.</t>
  </si>
  <si>
    <t>E11 - GDP 1790-2022</t>
  </si>
  <si>
    <t>S11b Population 1900 to 2022</t>
  </si>
  <si>
    <t>S1 - BEA estimates 1929-2022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</si>
</sst>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m/d/yy&quot; &quot;h:mm&quot; &quot;AM/PM"/>
    <numFmt numFmtId="165" formatCode="0.0"/>
    <numFmt numFmtId="166" formatCode="0.000"/>
    <numFmt numFmtId="167" formatCode="#,##0.0"/>
    <numFmt numFmtId="168" formatCode="&quot; &quot;* #,##0.00&quot; &quot;;&quot; &quot;* \(#,##0.00\);&quot; &quot;* &quot;-&quot;??&quot; &quot;"/>
    <numFmt numFmtId="169" formatCode="0.0%"/>
    <numFmt numFmtId="170" formatCode="0.000%"/>
    <numFmt numFmtId="171" formatCode="&quot; &quot;* #,##0&quot; &quot;;&quot; &quot;* \(#,##0\);&quot; &quot;* &quot;-&quot;??&quot; &quot;"/>
    <numFmt numFmtId="172" formatCode="0.0000"/>
    <numFmt numFmtId="173" formatCode="yyyy&quot;-&quot;mm&quot;-&quot;dd"/>
    <numFmt numFmtId="174" formatCode="&quot; &quot;* #,##0.0&quot; &quot;;&quot; &quot;* \(#,##0.0\);&quot; &quot;* &quot;-&quot;??&quot; &quot;"/>
    <numFmt numFmtId="175" formatCode="&quot; &quot;* #,##0.000&quot; &quot;;&quot; &quot;* \(#,##0.000\);&quot; &quot;* &quot;-&quot;??&quot; &quot;"/>
    <numFmt numFmtId="176" formatCode="0.00000"/>
    <numFmt numFmtId="177" formatCode="#,##0.000"/>
    <numFmt numFmtId="178" formatCode="&quot; &quot;* #,##0.0000&quot; &quot;;&quot; &quot;* \(#,##0.0000\);&quot; &quot;* &quot;-&quot;??&quot; &quot;"/>
    <numFmt numFmtId="179" formatCode="0.000000"/>
  </numFmts>
  <fonts count="28">
    <font>
      <sz val="10"/>
      <color indexed="8"/>
      <name val="Arial"/>
    </font>
    <font>
      <sz val="12"/>
      <color indexed="8"/>
      <name val="Arial"/>
      <family val="2"/>
    </font>
    <font>
      <sz val="14"/>
      <color indexed="8"/>
      <name val="Arial"/>
      <family val="2"/>
    </font>
    <font>
      <u/>
      <sz val="12"/>
      <color indexed="11"/>
      <name val="Arial"/>
      <family val="2"/>
    </font>
    <font>
      <b/>
      <sz val="14"/>
      <color indexed="8"/>
      <name val="Times New Roman"/>
      <family val="1"/>
    </font>
    <font>
      <sz val="14"/>
      <color indexed="8"/>
      <name val="Times New Roman"/>
      <family val="1"/>
    </font>
    <font>
      <sz val="12"/>
      <color indexed="8"/>
      <name val="Times New Roman"/>
      <family val="1"/>
    </font>
    <font>
      <b/>
      <sz val="12"/>
      <color indexed="8"/>
      <name val="Times New Roman"/>
      <family val="1"/>
    </font>
    <font>
      <b/>
      <sz val="10"/>
      <color indexed="8"/>
      <name val="Arial"/>
      <family val="2"/>
    </font>
    <font>
      <b/>
      <sz val="13"/>
      <color indexed="8"/>
      <name val="Verdana"/>
      <family val="2"/>
    </font>
    <font>
      <sz val="10"/>
      <color indexed="8"/>
      <name val="-webkit-standard"/>
    </font>
    <font>
      <sz val="13"/>
      <color indexed="8"/>
      <name val="Verdana"/>
      <family val="2"/>
    </font>
    <font>
      <i/>
      <sz val="13"/>
      <color indexed="8"/>
      <name val="Verdana"/>
      <family val="2"/>
    </font>
    <font>
      <sz val="20"/>
      <color indexed="8"/>
      <name val="Arial"/>
      <family val="2"/>
    </font>
    <font>
      <sz val="12"/>
      <color indexed="15"/>
      <name val="Times New Roman"/>
      <family val="1"/>
    </font>
    <font>
      <b/>
      <sz val="18"/>
      <color indexed="8"/>
      <name val="Times New Roman"/>
      <family val="1"/>
    </font>
    <font>
      <sz val="11"/>
      <color indexed="15"/>
      <name val="Calibri"/>
      <family val="2"/>
    </font>
    <font>
      <sz val="11"/>
      <color indexed="15"/>
      <name val="Times New Roman"/>
      <family val="1"/>
    </font>
    <font>
      <sz val="10"/>
      <color indexed="8"/>
      <name val="Times New Roman"/>
      <family val="1"/>
    </font>
    <font>
      <b/>
      <vertAlign val="superscript"/>
      <sz val="12"/>
      <color indexed="8"/>
      <name val="Times New Roman"/>
      <family val="1"/>
    </font>
    <font>
      <b/>
      <u/>
      <sz val="14"/>
      <color indexed="8"/>
      <name val="Times New Roman"/>
      <family val="1"/>
    </font>
    <font>
      <b/>
      <sz val="20"/>
      <color indexed="8"/>
      <name val="Times New Roman"/>
      <family val="1"/>
    </font>
    <font>
      <b/>
      <sz val="16"/>
      <color indexed="8"/>
      <name val="Times New Roman"/>
      <family val="1"/>
    </font>
    <font>
      <sz val="12"/>
      <color indexed="8"/>
      <name val="Time"/>
    </font>
    <font>
      <b/>
      <sz val="12"/>
      <color indexed="16"/>
      <name val="Times New Roman"/>
      <family val="1"/>
    </font>
    <font>
      <sz val="10"/>
      <color indexed="8"/>
      <name val="Arial"/>
      <family val="2"/>
    </font>
    <font>
      <b/>
      <sz val="12"/>
      <color rgb="FF000000"/>
      <name val="Times New Roman"/>
      <family val="1"/>
    </font>
    <font>
      <sz val="14"/>
      <color rgb="FF000000"/>
      <name val="Arial"/>
      <family val="2"/>
    </font>
  </fonts>
  <fills count="8">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s>
  <borders count="15">
    <border>
      <left/>
      <right/>
      <top/>
      <bottom/>
      <diagonal/>
    </border>
    <border>
      <left style="thin">
        <color indexed="13"/>
      </left>
      <right style="thin">
        <color indexed="13"/>
      </right>
      <top style="thin">
        <color indexed="13"/>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13"/>
      </right>
      <top style="thin">
        <color indexed="13"/>
      </top>
      <bottom/>
      <diagonal/>
    </border>
    <border>
      <left style="thin">
        <color indexed="13"/>
      </left>
      <right/>
      <top style="thin">
        <color indexed="13"/>
      </top>
      <bottom style="thin">
        <color indexed="13"/>
      </bottom>
      <diagonal/>
    </border>
    <border>
      <left/>
      <right/>
      <top/>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13"/>
      </left>
      <right/>
      <top/>
      <bottom/>
      <diagonal/>
    </border>
    <border>
      <left/>
      <right style="thin">
        <color indexed="13"/>
      </right>
      <top/>
      <bottom/>
      <diagonal/>
    </border>
    <border>
      <left style="thin">
        <color indexed="64"/>
      </left>
      <right style="thin">
        <color indexed="64"/>
      </right>
      <top style="thin">
        <color indexed="64"/>
      </top>
      <bottom style="thin">
        <color indexed="64"/>
      </bottom>
      <diagonal/>
    </border>
  </borders>
  <cellStyleXfs count="2">
    <xf numFmtId="0" fontId="0" fillId="0" borderId="0" applyNumberFormat="0" applyFill="0" applyBorder="0" applyProtection="0"/>
    <xf numFmtId="43" fontId="25" fillId="0" borderId="0" applyFont="0" applyFill="0" applyBorder="0" applyAlignment="0" applyProtection="0"/>
  </cellStyleXfs>
  <cellXfs count="246">
    <xf numFmtId="0" fontId="0" fillId="0" borderId="0" xfId="0"/>
    <xf numFmtId="0" fontId="2" fillId="0" borderId="0" xfId="0" applyFont="1" applyAlignment="1">
      <alignment horizontal="left"/>
    </xf>
    <xf numFmtId="0" fontId="1" fillId="2" borderId="0" xfId="0" applyFont="1" applyFill="1" applyAlignment="1">
      <alignment horizontal="left"/>
    </xf>
    <xf numFmtId="0" fontId="3" fillId="2" borderId="0" xfId="0" applyFont="1" applyFill="1" applyAlignment="1">
      <alignment horizontal="left"/>
    </xf>
    <xf numFmtId="0" fontId="0" fillId="0" borderId="0" xfId="0" applyNumberFormat="1"/>
    <xf numFmtId="49" fontId="4" fillId="3" borderId="1" xfId="0" applyNumberFormat="1" applyFont="1" applyFill="1" applyBorder="1" applyAlignment="1">
      <alignment horizontal="left"/>
    </xf>
    <xf numFmtId="0" fontId="0" fillId="3" borderId="1" xfId="0" applyFill="1" applyBorder="1"/>
    <xf numFmtId="0" fontId="0" fillId="3" borderId="1" xfId="0" applyFill="1" applyBorder="1" applyAlignment="1">
      <alignment vertical="center" wrapText="1"/>
    </xf>
    <xf numFmtId="49" fontId="0" fillId="3" borderId="1" xfId="0" applyNumberFormat="1" applyFill="1" applyBorder="1"/>
    <xf numFmtId="164" fontId="0" fillId="3" borderId="1" xfId="0" applyNumberFormat="1" applyFill="1" applyBorder="1"/>
    <xf numFmtId="49" fontId="0" fillId="3" borderId="1" xfId="0" applyNumberFormat="1" applyFill="1" applyBorder="1" applyAlignment="1">
      <alignment vertical="center" wrapText="1"/>
    </xf>
    <xf numFmtId="49" fontId="5" fillId="3" borderId="1" xfId="0" applyNumberFormat="1" applyFont="1" applyFill="1" applyBorder="1" applyAlignment="1">
      <alignment horizontal="left"/>
    </xf>
    <xf numFmtId="49" fontId="0" fillId="3" borderId="1" xfId="0" applyNumberFormat="1" applyFill="1" applyBorder="1" applyAlignment="1">
      <alignment wrapText="1"/>
    </xf>
    <xf numFmtId="49" fontId="6" fillId="3" borderId="1" xfId="0" applyNumberFormat="1" applyFont="1" applyFill="1" applyBorder="1" applyAlignment="1">
      <alignment horizontal="left"/>
    </xf>
    <xf numFmtId="49" fontId="6" fillId="3" borderId="1" xfId="0" applyNumberFormat="1" applyFont="1" applyFill="1" applyBorder="1" applyAlignment="1">
      <alignment horizontal="left" vertical="center" wrapText="1"/>
    </xf>
    <xf numFmtId="0" fontId="0" fillId="3" borderId="1" xfId="0" applyFill="1" applyBorder="1" applyAlignment="1">
      <alignment wrapText="1"/>
    </xf>
    <xf numFmtId="0" fontId="7" fillId="3" borderId="1" xfId="0" applyFont="1" applyFill="1" applyBorder="1"/>
    <xf numFmtId="165" fontId="0" fillId="3" borderId="1" xfId="0" applyNumberFormat="1" applyFill="1" applyBorder="1"/>
    <xf numFmtId="165" fontId="6" fillId="3" borderId="1" xfId="0" applyNumberFormat="1" applyFont="1" applyFill="1" applyBorder="1" applyAlignment="1">
      <alignment horizontal="center"/>
    </xf>
    <xf numFmtId="49" fontId="7" fillId="3" borderId="1" xfId="0" applyNumberFormat="1" applyFont="1" applyFill="1" applyBorder="1" applyAlignment="1">
      <alignment horizontal="left"/>
    </xf>
    <xf numFmtId="0" fontId="7" fillId="3" borderId="1" xfId="0" applyFont="1" applyFill="1" applyBorder="1" applyAlignment="1">
      <alignment horizontal="center"/>
    </xf>
    <xf numFmtId="49" fontId="7" fillId="3" borderId="1" xfId="0" applyNumberFormat="1" applyFont="1" applyFill="1" applyBorder="1" applyAlignment="1">
      <alignment horizontal="center" wrapText="1"/>
    </xf>
    <xf numFmtId="0" fontId="0" fillId="3" borderId="1" xfId="0" applyNumberFormat="1" applyFill="1" applyBorder="1"/>
    <xf numFmtId="166" fontId="0" fillId="3" borderId="1" xfId="0" applyNumberFormat="1" applyFill="1" applyBorder="1"/>
    <xf numFmtId="0" fontId="8" fillId="3" borderId="1" xfId="0" applyNumberFormat="1" applyFont="1" applyFill="1" applyBorder="1"/>
    <xf numFmtId="1" fontId="0" fillId="3" borderId="1" xfId="0" applyNumberFormat="1" applyFill="1" applyBorder="1"/>
    <xf numFmtId="49" fontId="6" fillId="3" borderId="1" xfId="0" applyNumberFormat="1" applyFont="1" applyFill="1" applyBorder="1" applyAlignment="1">
      <alignment horizontal="center"/>
    </xf>
    <xf numFmtId="0" fontId="6" fillId="3" borderId="1" xfId="0" applyFont="1" applyFill="1" applyBorder="1" applyAlignment="1">
      <alignment horizontal="center"/>
    </xf>
    <xf numFmtId="168" fontId="0" fillId="3" borderId="1" xfId="0" applyNumberFormat="1" applyFill="1" applyBorder="1"/>
    <xf numFmtId="10" fontId="0" fillId="3" borderId="1" xfId="0" applyNumberFormat="1" applyFill="1" applyBorder="1"/>
    <xf numFmtId="0" fontId="7" fillId="3" borderId="1" xfId="0" applyFont="1" applyFill="1" applyBorder="1" applyAlignment="1">
      <alignment wrapText="1"/>
    </xf>
    <xf numFmtId="9" fontId="0" fillId="3" borderId="1" xfId="0" applyNumberFormat="1" applyFill="1" applyBorder="1"/>
    <xf numFmtId="169" fontId="0" fillId="3" borderId="1" xfId="0" applyNumberFormat="1" applyFill="1" applyBorder="1"/>
    <xf numFmtId="170" fontId="0" fillId="3" borderId="1" xfId="0" applyNumberFormat="1" applyFill="1" applyBorder="1"/>
    <xf numFmtId="171" fontId="0" fillId="3" borderId="1" xfId="0" applyNumberFormat="1" applyFill="1" applyBorder="1"/>
    <xf numFmtId="49" fontId="7" fillId="3" borderId="1" xfId="0" applyNumberFormat="1" applyFont="1" applyFill="1" applyBorder="1" applyAlignment="1">
      <alignment horizontal="center"/>
    </xf>
    <xf numFmtId="0" fontId="6" fillId="3" borderId="1" xfId="0" applyFont="1" applyFill="1" applyBorder="1" applyAlignment="1">
      <alignment horizontal="center" wrapText="1"/>
    </xf>
    <xf numFmtId="0" fontId="7" fillId="3" borderId="1" xfId="0" applyFont="1" applyFill="1" applyBorder="1" applyAlignment="1">
      <alignment horizontal="left"/>
    </xf>
    <xf numFmtId="0" fontId="7" fillId="3" borderId="1" xfId="0" applyNumberFormat="1" applyFont="1" applyFill="1" applyBorder="1" applyAlignment="1">
      <alignment horizontal="center" wrapText="1"/>
    </xf>
    <xf numFmtId="0" fontId="6" fillId="3" borderId="1" xfId="0" applyNumberFormat="1" applyFont="1" applyFill="1" applyBorder="1" applyAlignment="1">
      <alignment horizontal="right" wrapText="1"/>
    </xf>
    <xf numFmtId="172" fontId="0" fillId="3" borderId="1" xfId="0" applyNumberFormat="1" applyFill="1" applyBorder="1"/>
    <xf numFmtId="0" fontId="7" fillId="3" borderId="1" xfId="0" applyFont="1" applyFill="1" applyBorder="1" applyAlignment="1">
      <alignment horizontal="center" wrapText="1"/>
    </xf>
    <xf numFmtId="0" fontId="7" fillId="3" borderId="1" xfId="0" applyNumberFormat="1" applyFont="1" applyFill="1" applyBorder="1" applyAlignment="1">
      <alignment horizontal="center"/>
    </xf>
    <xf numFmtId="171" fontId="6" fillId="3" borderId="1" xfId="0" applyNumberFormat="1" applyFont="1" applyFill="1" applyBorder="1" applyAlignment="1">
      <alignment horizontal="center"/>
    </xf>
    <xf numFmtId="49" fontId="9" fillId="3" borderId="1" xfId="0" applyNumberFormat="1" applyFont="1" applyFill="1" applyBorder="1"/>
    <xf numFmtId="0" fontId="10" fillId="3" borderId="1" xfId="0" applyFont="1" applyFill="1" applyBorder="1"/>
    <xf numFmtId="49" fontId="9" fillId="3" borderId="1" xfId="0" applyNumberFormat="1" applyFont="1" applyFill="1" applyBorder="1" applyAlignment="1">
      <alignment wrapText="1"/>
    </xf>
    <xf numFmtId="49" fontId="11" fillId="3" borderId="1" xfId="0" applyNumberFormat="1" applyFont="1" applyFill="1" applyBorder="1" applyAlignment="1">
      <alignment wrapText="1"/>
    </xf>
    <xf numFmtId="49" fontId="13" fillId="0" borderId="1" xfId="0" applyNumberFormat="1" applyFont="1" applyBorder="1"/>
    <xf numFmtId="0" fontId="0" fillId="0" borderId="1" xfId="0" applyBorder="1"/>
    <xf numFmtId="49" fontId="0" fillId="0" borderId="1" xfId="0" applyNumberFormat="1" applyBorder="1"/>
    <xf numFmtId="15" fontId="0" fillId="0" borderId="1" xfId="0" applyNumberFormat="1" applyBorder="1"/>
    <xf numFmtId="171" fontId="6" fillId="0" borderId="1" xfId="0" applyNumberFormat="1" applyFont="1" applyBorder="1" applyAlignment="1">
      <alignment horizontal="center"/>
    </xf>
    <xf numFmtId="0" fontId="0" fillId="0" borderId="1" xfId="0" applyNumberFormat="1" applyBorder="1"/>
    <xf numFmtId="3" fontId="0" fillId="0" borderId="1" xfId="0" applyNumberFormat="1" applyBorder="1"/>
    <xf numFmtId="173" fontId="0" fillId="0" borderId="1" xfId="0" applyNumberFormat="1" applyBorder="1"/>
    <xf numFmtId="171" fontId="0" fillId="0" borderId="1" xfId="0" applyNumberFormat="1" applyBorder="1"/>
    <xf numFmtId="49" fontId="7" fillId="0" borderId="1" xfId="0" applyNumberFormat="1" applyFont="1" applyBorder="1"/>
    <xf numFmtId="0" fontId="6" fillId="0" borderId="1" xfId="0" applyFont="1" applyBorder="1"/>
    <xf numFmtId="0" fontId="7" fillId="0" borderId="1" xfId="0" applyFont="1" applyBorder="1"/>
    <xf numFmtId="49" fontId="7" fillId="0" borderId="1" xfId="0" applyNumberFormat="1" applyFont="1" applyBorder="1" applyAlignment="1">
      <alignment horizontal="center"/>
    </xf>
    <xf numFmtId="0" fontId="7" fillId="0" borderId="1" xfId="0" applyFont="1" applyBorder="1" applyAlignment="1">
      <alignment horizontal="center"/>
    </xf>
    <xf numFmtId="0" fontId="7" fillId="0" borderId="1" xfId="0" applyNumberFormat="1" applyFont="1" applyBorder="1"/>
    <xf numFmtId="0" fontId="7" fillId="0" borderId="1" xfId="0" applyNumberFormat="1" applyFont="1" applyBorder="1" applyAlignment="1">
      <alignment horizontal="center"/>
    </xf>
    <xf numFmtId="171" fontId="6" fillId="0" borderId="1" xfId="0" applyNumberFormat="1" applyFont="1" applyBorder="1"/>
    <xf numFmtId="0" fontId="6" fillId="0" borderId="1" xfId="0" applyNumberFormat="1" applyFont="1" applyBorder="1"/>
    <xf numFmtId="1" fontId="6" fillId="0" borderId="1" xfId="0" applyNumberFormat="1" applyFont="1" applyBorder="1"/>
    <xf numFmtId="166" fontId="6" fillId="0" borderId="1" xfId="0" applyNumberFormat="1" applyFont="1" applyBorder="1"/>
    <xf numFmtId="0" fontId="7" fillId="3" borderId="1" xfId="0" applyNumberFormat="1" applyFont="1" applyFill="1" applyBorder="1" applyAlignment="1">
      <alignment horizontal="right"/>
    </xf>
    <xf numFmtId="2" fontId="0" fillId="3" borderId="1" xfId="0" applyNumberFormat="1" applyFill="1" applyBorder="1"/>
    <xf numFmtId="0" fontId="7" fillId="3" borderId="1" xfId="0" applyFont="1" applyFill="1" applyBorder="1" applyAlignment="1">
      <alignment horizontal="right"/>
    </xf>
    <xf numFmtId="49" fontId="7" fillId="3" borderId="1" xfId="0" applyNumberFormat="1" applyFont="1" applyFill="1" applyBorder="1" applyAlignment="1">
      <alignment horizontal="right"/>
    </xf>
    <xf numFmtId="174" fontId="6" fillId="3" borderId="1" xfId="0" applyNumberFormat="1" applyFont="1" applyFill="1" applyBorder="1" applyAlignment="1">
      <alignment horizontal="center"/>
    </xf>
    <xf numFmtId="174" fontId="0" fillId="3" borderId="1" xfId="0" applyNumberFormat="1" applyFill="1" applyBorder="1"/>
    <xf numFmtId="49" fontId="7" fillId="3" borderId="1" xfId="0" applyNumberFormat="1" applyFont="1" applyFill="1" applyBorder="1"/>
    <xf numFmtId="0" fontId="0" fillId="3" borderId="2" xfId="0" applyFill="1" applyBorder="1"/>
    <xf numFmtId="49" fontId="0" fillId="3" borderId="2" xfId="0" applyNumberFormat="1" applyFill="1" applyBorder="1"/>
    <xf numFmtId="0" fontId="0" fillId="3" borderId="3" xfId="0" applyFill="1" applyBorder="1"/>
    <xf numFmtId="1" fontId="7" fillId="3" borderId="1" xfId="0" applyNumberFormat="1" applyFont="1" applyFill="1" applyBorder="1"/>
    <xf numFmtId="165" fontId="0" fillId="3" borderId="3" xfId="0" applyNumberFormat="1" applyFill="1" applyBorder="1"/>
    <xf numFmtId="1" fontId="0" fillId="3" borderId="3" xfId="0" applyNumberFormat="1" applyFill="1" applyBorder="1"/>
    <xf numFmtId="0" fontId="0" fillId="3" borderId="1" xfId="0" applyNumberFormat="1" applyFill="1" applyBorder="1" applyAlignment="1">
      <alignment wrapText="1"/>
    </xf>
    <xf numFmtId="1" fontId="0" fillId="3" borderId="1" xfId="0" applyNumberFormat="1" applyFill="1" applyBorder="1" applyAlignment="1">
      <alignment wrapText="1"/>
    </xf>
    <xf numFmtId="49" fontId="6" fillId="3" borderId="1" xfId="0" applyNumberFormat="1" applyFont="1" applyFill="1" applyBorder="1" applyAlignment="1">
      <alignment horizontal="right"/>
    </xf>
    <xf numFmtId="49" fontId="7" fillId="3" borderId="1" xfId="0" applyNumberFormat="1" applyFont="1" applyFill="1" applyBorder="1" applyAlignment="1">
      <alignment horizontal="left" vertical="top" wrapText="1"/>
    </xf>
    <xf numFmtId="49" fontId="7" fillId="3" borderId="4" xfId="0" applyNumberFormat="1" applyFont="1" applyFill="1" applyBorder="1" applyAlignment="1">
      <alignment horizontal="center" wrapText="1"/>
    </xf>
    <xf numFmtId="175" fontId="6" fillId="0" borderId="1" xfId="0" applyNumberFormat="1" applyFont="1" applyBorder="1"/>
    <xf numFmtId="171" fontId="6" fillId="0" borderId="5" xfId="0" applyNumberFormat="1" applyFont="1" applyBorder="1"/>
    <xf numFmtId="171" fontId="6" fillId="4" borderId="6" xfId="0" applyNumberFormat="1" applyFont="1" applyFill="1" applyBorder="1"/>
    <xf numFmtId="171" fontId="6" fillId="0" borderId="7" xfId="0" applyNumberFormat="1" applyFont="1" applyBorder="1"/>
    <xf numFmtId="168" fontId="6" fillId="4" borderId="6" xfId="0" applyNumberFormat="1" applyFont="1" applyFill="1" applyBorder="1"/>
    <xf numFmtId="0" fontId="6" fillId="0" borderId="8" xfId="0" applyFont="1" applyBorder="1"/>
    <xf numFmtId="0" fontId="6" fillId="0" borderId="9" xfId="0" applyFont="1" applyBorder="1"/>
    <xf numFmtId="0" fontId="4" fillId="0" borderId="1" xfId="0" applyFont="1" applyBorder="1"/>
    <xf numFmtId="0" fontId="5" fillId="0" borderId="1" xfId="0" applyFont="1" applyBorder="1"/>
    <xf numFmtId="0" fontId="2" fillId="0" borderId="1" xfId="0" applyFont="1" applyBorder="1"/>
    <xf numFmtId="49" fontId="5" fillId="0" borderId="1" xfId="0" applyNumberFormat="1" applyFont="1" applyBorder="1"/>
    <xf numFmtId="176" fontId="0" fillId="3" borderId="1" xfId="0" applyNumberFormat="1" applyFill="1" applyBorder="1"/>
    <xf numFmtId="49" fontId="4"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xf>
    <xf numFmtId="22" fontId="0" fillId="3" borderId="1" xfId="0" applyNumberFormat="1" applyFill="1" applyBorder="1" applyAlignment="1">
      <alignment vertical="center" wrapText="1"/>
    </xf>
    <xf numFmtId="0" fontId="6" fillId="3" borderId="1" xfId="0" applyFont="1" applyFill="1" applyBorder="1" applyAlignment="1">
      <alignment horizontal="center" vertical="center"/>
    </xf>
    <xf numFmtId="49" fontId="7" fillId="3" borderId="1" xfId="0" applyNumberFormat="1" applyFont="1" applyFill="1" applyBorder="1" applyAlignment="1">
      <alignment horizontal="center" vertical="center"/>
    </xf>
    <xf numFmtId="49" fontId="0" fillId="3" borderId="1" xfId="0" applyNumberFormat="1" applyFill="1" applyBorder="1" applyAlignment="1">
      <alignment vertical="center"/>
    </xf>
    <xf numFmtId="49" fontId="6" fillId="3" borderId="1" xfId="0" applyNumberFormat="1" applyFont="1" applyFill="1" applyBorder="1" applyAlignment="1">
      <alignment horizontal="left" vertical="center"/>
    </xf>
    <xf numFmtId="49" fontId="7" fillId="3" borderId="1" xfId="0" applyNumberFormat="1" applyFont="1" applyFill="1" applyBorder="1" applyAlignment="1">
      <alignment horizontal="left" vertical="center"/>
    </xf>
    <xf numFmtId="0" fontId="7" fillId="3" borderId="1" xfId="0" applyFont="1" applyFill="1" applyBorder="1" applyAlignment="1">
      <alignment horizontal="center" vertical="center"/>
    </xf>
    <xf numFmtId="0" fontId="0" fillId="3" borderId="1" xfId="0" applyFill="1" applyBorder="1" applyAlignment="1">
      <alignment vertical="center"/>
    </xf>
    <xf numFmtId="0" fontId="7" fillId="3" borderId="1" xfId="0" applyNumberFormat="1" applyFont="1" applyFill="1" applyBorder="1"/>
    <xf numFmtId="2" fontId="14" fillId="3" borderId="1" xfId="0" applyNumberFormat="1" applyFont="1" applyFill="1" applyBorder="1"/>
    <xf numFmtId="0" fontId="6" fillId="3" borderId="1" xfId="0" applyFont="1" applyFill="1" applyBorder="1"/>
    <xf numFmtId="0" fontId="15" fillId="3" borderId="1" xfId="0" applyFont="1" applyFill="1" applyBorder="1"/>
    <xf numFmtId="0" fontId="15" fillId="3" borderId="1" xfId="0" applyFont="1" applyFill="1" applyBorder="1" applyAlignment="1">
      <alignment horizontal="center" wrapText="1"/>
    </xf>
    <xf numFmtId="49" fontId="7" fillId="3" borderId="10" xfId="0" applyNumberFormat="1" applyFont="1" applyFill="1" applyBorder="1" applyAlignment="1">
      <alignment horizontal="center" wrapText="1"/>
    </xf>
    <xf numFmtId="49" fontId="7" fillId="3" borderId="11" xfId="0" applyNumberFormat="1" applyFont="1" applyFill="1" applyBorder="1" applyAlignment="1">
      <alignment horizontal="center" wrapText="1"/>
    </xf>
    <xf numFmtId="0" fontId="0" fillId="3" borderId="10" xfId="0" applyNumberFormat="1" applyFill="1" applyBorder="1"/>
    <xf numFmtId="2" fontId="0" fillId="3" borderId="11" xfId="0" applyNumberFormat="1" applyFill="1" applyBorder="1"/>
    <xf numFmtId="172" fontId="6" fillId="0" borderId="1" xfId="0" applyNumberFormat="1" applyFont="1" applyBorder="1"/>
    <xf numFmtId="174" fontId="16" fillId="3" borderId="1" xfId="0" applyNumberFormat="1" applyFont="1" applyFill="1" applyBorder="1"/>
    <xf numFmtId="2" fontId="6" fillId="0" borderId="1" xfId="0" applyNumberFormat="1" applyFont="1" applyBorder="1"/>
    <xf numFmtId="0" fontId="15" fillId="3" borderId="1" xfId="0" applyFont="1" applyFill="1" applyBorder="1" applyAlignment="1">
      <alignment wrapText="1"/>
    </xf>
    <xf numFmtId="2" fontId="6" fillId="3" borderId="1" xfId="0" applyNumberFormat="1" applyFont="1" applyFill="1" applyBorder="1"/>
    <xf numFmtId="2" fontId="6" fillId="3" borderId="1" xfId="0" applyNumberFormat="1" applyFont="1" applyFill="1" applyBorder="1" applyAlignment="1">
      <alignment wrapText="1"/>
    </xf>
    <xf numFmtId="2" fontId="17" fillId="3" borderId="1" xfId="0" applyNumberFormat="1" applyFont="1" applyFill="1" applyBorder="1"/>
    <xf numFmtId="2" fontId="0" fillId="3" borderId="1" xfId="0" applyNumberFormat="1" applyFill="1" applyBorder="1" applyAlignment="1">
      <alignment wrapText="1"/>
    </xf>
    <xf numFmtId="0" fontId="7" fillId="3" borderId="1" xfId="0" applyNumberFormat="1" applyFont="1" applyFill="1" applyBorder="1" applyAlignment="1">
      <alignment horizontal="right" wrapText="1"/>
    </xf>
    <xf numFmtId="1" fontId="6" fillId="3" borderId="1" xfId="0" applyNumberFormat="1" applyFont="1" applyFill="1" applyBorder="1" applyAlignment="1">
      <alignment horizontal="center"/>
    </xf>
    <xf numFmtId="1" fontId="6" fillId="3" borderId="1" xfId="0" applyNumberFormat="1" applyFont="1" applyFill="1" applyBorder="1"/>
    <xf numFmtId="2" fontId="18" fillId="3" borderId="1" xfId="0" applyNumberFormat="1" applyFont="1" applyFill="1" applyBorder="1"/>
    <xf numFmtId="0" fontId="6" fillId="3" borderId="1" xfId="0" applyNumberFormat="1" applyFont="1" applyFill="1" applyBorder="1"/>
    <xf numFmtId="10" fontId="6" fillId="3" borderId="1" xfId="0" applyNumberFormat="1" applyFont="1" applyFill="1" applyBorder="1" applyAlignment="1">
      <alignment horizontal="left" wrapText="1"/>
    </xf>
    <xf numFmtId="168" fontId="6" fillId="3" borderId="1" xfId="0" applyNumberFormat="1" applyFont="1" applyFill="1" applyBorder="1" applyAlignment="1">
      <alignment horizontal="center" wrapText="1"/>
    </xf>
    <xf numFmtId="10" fontId="6" fillId="3" borderId="1" xfId="0" applyNumberFormat="1" applyFont="1" applyFill="1" applyBorder="1" applyAlignment="1">
      <alignment horizontal="center" wrapText="1"/>
    </xf>
    <xf numFmtId="168" fontId="6" fillId="3" borderId="1" xfId="0" applyNumberFormat="1" applyFont="1" applyFill="1" applyBorder="1"/>
    <xf numFmtId="171" fontId="6" fillId="3" borderId="1" xfId="0" applyNumberFormat="1" applyFont="1" applyFill="1" applyBorder="1" applyAlignment="1">
      <alignment horizontal="center" wrapText="1"/>
    </xf>
    <xf numFmtId="4" fontId="6" fillId="3" borderId="1" xfId="0" applyNumberFormat="1" applyFont="1" applyFill="1" applyBorder="1"/>
    <xf numFmtId="177" fontId="6" fillId="3" borderId="1" xfId="0" applyNumberFormat="1" applyFont="1" applyFill="1" applyBorder="1"/>
    <xf numFmtId="168" fontId="6" fillId="3" borderId="1" xfId="0" applyNumberFormat="1" applyFont="1" applyFill="1" applyBorder="1" applyAlignment="1">
      <alignment horizontal="center"/>
    </xf>
    <xf numFmtId="10" fontId="6" fillId="3" borderId="1" xfId="0" applyNumberFormat="1" applyFont="1" applyFill="1" applyBorder="1" applyAlignment="1">
      <alignment horizontal="right" wrapText="1"/>
    </xf>
    <xf numFmtId="4" fontId="0" fillId="3" borderId="1" xfId="0" applyNumberFormat="1" applyFill="1" applyBorder="1"/>
    <xf numFmtId="177" fontId="0" fillId="3" borderId="1" xfId="0" applyNumberFormat="1" applyFill="1" applyBorder="1"/>
    <xf numFmtId="175" fontId="0" fillId="3" borderId="1" xfId="0" applyNumberFormat="1" applyFill="1" applyBorder="1"/>
    <xf numFmtId="0" fontId="0" fillId="3" borderId="4" xfId="0" applyNumberFormat="1" applyFill="1" applyBorder="1"/>
    <xf numFmtId="168" fontId="0" fillId="3" borderId="4" xfId="0" applyNumberFormat="1" applyFill="1" applyBorder="1"/>
    <xf numFmtId="10" fontId="0" fillId="3" borderId="4" xfId="0" applyNumberFormat="1" applyFill="1" applyBorder="1"/>
    <xf numFmtId="175" fontId="0" fillId="3" borderId="4" xfId="0" applyNumberFormat="1" applyFill="1" applyBorder="1"/>
    <xf numFmtId="0" fontId="7" fillId="3" borderId="12" xfId="0" applyNumberFormat="1" applyFont="1" applyFill="1" applyBorder="1"/>
    <xf numFmtId="0" fontId="0" fillId="3" borderId="9" xfId="0" applyNumberFormat="1" applyFill="1" applyBorder="1"/>
    <xf numFmtId="168" fontId="0" fillId="3" borderId="9" xfId="0" applyNumberFormat="1" applyFill="1" applyBorder="1"/>
    <xf numFmtId="10" fontId="0" fillId="3" borderId="9" xfId="0" applyNumberFormat="1" applyFill="1" applyBorder="1"/>
    <xf numFmtId="175" fontId="0" fillId="3" borderId="9" xfId="0" applyNumberFormat="1" applyFill="1" applyBorder="1"/>
    <xf numFmtId="178" fontId="0" fillId="3" borderId="1" xfId="0" applyNumberFormat="1" applyFill="1" applyBorder="1"/>
    <xf numFmtId="168" fontId="6" fillId="0" borderId="1" xfId="0" applyNumberFormat="1" applyFont="1" applyBorder="1"/>
    <xf numFmtId="0" fontId="7" fillId="3" borderId="4" xfId="0" applyNumberFormat="1" applyFont="1" applyFill="1" applyBorder="1"/>
    <xf numFmtId="168" fontId="6" fillId="0" borderId="4" xfId="0" applyNumberFormat="1" applyFont="1" applyBorder="1"/>
    <xf numFmtId="1" fontId="6" fillId="0" borderId="4" xfId="0" applyNumberFormat="1" applyFont="1" applyBorder="1"/>
    <xf numFmtId="2" fontId="6" fillId="0" borderId="4" xfId="0" applyNumberFormat="1" applyFont="1" applyBorder="1"/>
    <xf numFmtId="0" fontId="0" fillId="0" borderId="4" xfId="0" applyBorder="1"/>
    <xf numFmtId="168" fontId="6" fillId="0" borderId="6" xfId="0" applyNumberFormat="1" applyFont="1" applyBorder="1"/>
    <xf numFmtId="1" fontId="6" fillId="0" borderId="6" xfId="0" applyNumberFormat="1" applyFont="1" applyBorder="1"/>
    <xf numFmtId="2" fontId="6" fillId="3" borderId="8" xfId="0" applyNumberFormat="1" applyFont="1" applyFill="1" applyBorder="1"/>
    <xf numFmtId="2" fontId="6" fillId="0" borderId="6" xfId="0" applyNumberFormat="1" applyFont="1" applyBorder="1"/>
    <xf numFmtId="0" fontId="0" fillId="3" borderId="5" xfId="0" applyFill="1" applyBorder="1"/>
    <xf numFmtId="0" fontId="0" fillId="0" borderId="6" xfId="0" applyBorder="1"/>
    <xf numFmtId="0" fontId="0" fillId="0" borderId="13" xfId="0" applyBorder="1"/>
    <xf numFmtId="0" fontId="7" fillId="3" borderId="9" xfId="0" applyNumberFormat="1" applyFont="1" applyFill="1" applyBorder="1"/>
    <xf numFmtId="168" fontId="6" fillId="0" borderId="9" xfId="0" applyNumberFormat="1" applyFont="1" applyBorder="1"/>
    <xf numFmtId="1" fontId="6" fillId="0" borderId="9" xfId="0" applyNumberFormat="1" applyFont="1" applyBorder="1"/>
    <xf numFmtId="2" fontId="6" fillId="0" borderId="9" xfId="0" applyNumberFormat="1" applyFont="1" applyBorder="1"/>
    <xf numFmtId="0" fontId="0" fillId="0" borderId="9" xfId="0" applyBorder="1"/>
    <xf numFmtId="166" fontId="0" fillId="0" borderId="1" xfId="0" applyNumberFormat="1" applyBorder="1"/>
    <xf numFmtId="49" fontId="6" fillId="0" borderId="1" xfId="0" applyNumberFormat="1" applyFont="1" applyBorder="1"/>
    <xf numFmtId="49" fontId="6" fillId="3" borderId="1" xfId="0" applyNumberFormat="1" applyFont="1" applyFill="1" applyBorder="1" applyAlignment="1">
      <alignment horizontal="left" vertical="top"/>
    </xf>
    <xf numFmtId="176" fontId="6" fillId="0" borderId="1" xfId="0" applyNumberFormat="1" applyFont="1" applyBorder="1"/>
    <xf numFmtId="179" fontId="4" fillId="0" borderId="1" xfId="0" applyNumberFormat="1" applyFont="1" applyBorder="1"/>
    <xf numFmtId="179" fontId="6" fillId="0" borderId="1" xfId="0" applyNumberFormat="1" applyFont="1" applyBorder="1"/>
    <xf numFmtId="49" fontId="22" fillId="3" borderId="1" xfId="0" applyNumberFormat="1" applyFont="1" applyFill="1" applyBorder="1" applyAlignment="1">
      <alignment horizontal="center"/>
    </xf>
    <xf numFmtId="171" fontId="23" fillId="3" borderId="1" xfId="0" applyNumberFormat="1" applyFont="1" applyFill="1" applyBorder="1" applyAlignment="1">
      <alignment horizontal="center"/>
    </xf>
    <xf numFmtId="168" fontId="24" fillId="3" borderId="1" xfId="0" applyNumberFormat="1" applyFont="1" applyFill="1" applyBorder="1" applyAlignment="1">
      <alignment horizontal="left"/>
    </xf>
    <xf numFmtId="2" fontId="6" fillId="3" borderId="1" xfId="0" applyNumberFormat="1" applyFont="1" applyFill="1" applyBorder="1" applyAlignment="1">
      <alignment horizontal="right"/>
    </xf>
    <xf numFmtId="49" fontId="22" fillId="3" borderId="1" xfId="0" applyNumberFormat="1" applyFont="1" applyFill="1" applyBorder="1" applyAlignment="1">
      <alignment horizontal="center" wrapText="1"/>
    </xf>
    <xf numFmtId="0" fontId="22" fillId="3" borderId="1" xfId="0" applyFont="1" applyFill="1" applyBorder="1" applyAlignment="1">
      <alignment horizontal="center" wrapText="1"/>
    </xf>
    <xf numFmtId="0" fontId="0" fillId="5" borderId="0" xfId="0" applyFill="1"/>
    <xf numFmtId="43" fontId="0" fillId="5" borderId="0" xfId="1" applyFont="1" applyFill="1"/>
    <xf numFmtId="43" fontId="0" fillId="0" borderId="0" xfId="1" applyFont="1"/>
    <xf numFmtId="0" fontId="0" fillId="6" borderId="0" xfId="0" applyFill="1"/>
    <xf numFmtId="43" fontId="0" fillId="6" borderId="0" xfId="1" applyFont="1" applyFill="1"/>
    <xf numFmtId="0" fontId="0" fillId="7" borderId="1" xfId="0" applyNumberFormat="1" applyFill="1" applyBorder="1"/>
    <xf numFmtId="168" fontId="24" fillId="7" borderId="1" xfId="0" applyNumberFormat="1" applyFont="1" applyFill="1" applyBorder="1" applyAlignment="1">
      <alignment horizontal="left"/>
    </xf>
    <xf numFmtId="171" fontId="6" fillId="7" borderId="1" xfId="0" applyNumberFormat="1" applyFont="1" applyFill="1" applyBorder="1" applyAlignment="1">
      <alignment horizontal="center"/>
    </xf>
    <xf numFmtId="171" fontId="23" fillId="7" borderId="1" xfId="0" applyNumberFormat="1" applyFont="1" applyFill="1" applyBorder="1" applyAlignment="1">
      <alignment horizontal="center"/>
    </xf>
    <xf numFmtId="0" fontId="0" fillId="7" borderId="1" xfId="0" applyFill="1" applyBorder="1"/>
    <xf numFmtId="0" fontId="0" fillId="7" borderId="0" xfId="0" applyNumberFormat="1" applyFill="1"/>
    <xf numFmtId="167" fontId="0" fillId="7" borderId="0" xfId="0" applyNumberFormat="1" applyFill="1"/>
    <xf numFmtId="0" fontId="0" fillId="0" borderId="0" xfId="0" applyFill="1"/>
    <xf numFmtId="0" fontId="0" fillId="0" borderId="1" xfId="0" applyFill="1" applyBorder="1"/>
    <xf numFmtId="0" fontId="0" fillId="0" borderId="0" xfId="0" applyNumberFormat="1" applyFill="1"/>
    <xf numFmtId="0" fontId="0" fillId="6" borderId="1" xfId="0" applyNumberFormat="1" applyFill="1" applyBorder="1"/>
    <xf numFmtId="167" fontId="0" fillId="6" borderId="0" xfId="0" applyNumberFormat="1" applyFill="1"/>
    <xf numFmtId="49" fontId="25" fillId="0" borderId="1" xfId="0" applyNumberFormat="1" applyFont="1" applyBorder="1"/>
    <xf numFmtId="0" fontId="0" fillId="0" borderId="6" xfId="0" applyNumberFormat="1" applyBorder="1"/>
    <xf numFmtId="173" fontId="0" fillId="0" borderId="4" xfId="0" applyNumberFormat="1" applyBorder="1"/>
    <xf numFmtId="171" fontId="0" fillId="0" borderId="4" xfId="0" applyNumberFormat="1" applyBorder="1"/>
    <xf numFmtId="173" fontId="0" fillId="0" borderId="14" xfId="0" applyNumberFormat="1" applyBorder="1"/>
    <xf numFmtId="1" fontId="0" fillId="0" borderId="14" xfId="0" applyNumberFormat="1" applyBorder="1"/>
    <xf numFmtId="0" fontId="0" fillId="0" borderId="14" xfId="0" applyBorder="1"/>
    <xf numFmtId="0" fontId="0" fillId="0" borderId="14" xfId="0" applyNumberFormat="1" applyBorder="1"/>
    <xf numFmtId="49" fontId="25" fillId="3" borderId="1" xfId="0" applyNumberFormat="1" applyFont="1" applyFill="1" applyBorder="1" applyAlignment="1">
      <alignment wrapText="1"/>
    </xf>
    <xf numFmtId="0" fontId="8" fillId="0" borderId="1" xfId="0" applyFont="1" applyBorder="1"/>
    <xf numFmtId="0" fontId="0" fillId="0" borderId="1" xfId="0" applyBorder="1" applyAlignment="1">
      <alignment wrapText="1"/>
    </xf>
    <xf numFmtId="49" fontId="26" fillId="0" borderId="1" xfId="0" applyNumberFormat="1" applyFont="1" applyBorder="1"/>
    <xf numFmtId="0" fontId="27" fillId="3" borderId="1" xfId="0" applyFont="1" applyFill="1" applyBorder="1" applyAlignment="1">
      <alignment wrapText="1"/>
    </xf>
    <xf numFmtId="0" fontId="0" fillId="3" borderId="14" xfId="0" applyNumberFormat="1" applyFill="1" applyBorder="1"/>
    <xf numFmtId="168" fontId="0" fillId="3" borderId="14" xfId="0" applyNumberFormat="1" applyFill="1" applyBorder="1"/>
    <xf numFmtId="10" fontId="0" fillId="3" borderId="14" xfId="0" applyNumberFormat="1" applyFill="1" applyBorder="1"/>
    <xf numFmtId="175" fontId="0" fillId="3" borderId="14" xfId="0" applyNumberFormat="1" applyFill="1" applyBorder="1"/>
    <xf numFmtId="0" fontId="7" fillId="3" borderId="14" xfId="0" applyNumberFormat="1" applyFont="1" applyFill="1" applyBorder="1"/>
    <xf numFmtId="0" fontId="6" fillId="0" borderId="5" xfId="0" applyFont="1" applyBorder="1"/>
    <xf numFmtId="0" fontId="6" fillId="0" borderId="4" xfId="0" applyFont="1" applyBorder="1"/>
    <xf numFmtId="0" fontId="6" fillId="0" borderId="14" xfId="0" applyFont="1" applyBorder="1"/>
    <xf numFmtId="0" fontId="22" fillId="3" borderId="1" xfId="0" applyFont="1" applyFill="1" applyBorder="1" applyAlignment="1">
      <alignment horizontal="center"/>
    </xf>
    <xf numFmtId="0" fontId="1" fillId="0" borderId="0" xfId="0" applyFont="1" applyAlignment="1">
      <alignment horizontal="left" wrapText="1"/>
    </xf>
    <xf numFmtId="0" fontId="0" fillId="0" borderId="0" xfId="0"/>
    <xf numFmtId="0" fontId="0" fillId="3" borderId="1" xfId="0" applyFill="1" applyBorder="1" applyAlignment="1">
      <alignment wrapText="1"/>
    </xf>
    <xf numFmtId="49" fontId="0" fillId="3" borderId="1" xfId="0" applyNumberFormat="1" applyFill="1" applyBorder="1" applyAlignment="1">
      <alignment vertical="center" wrapText="1"/>
    </xf>
    <xf numFmtId="0" fontId="0" fillId="3" borderId="1" xfId="0" applyFill="1" applyBorder="1" applyAlignment="1">
      <alignment vertical="center" wrapText="1"/>
    </xf>
    <xf numFmtId="0" fontId="6" fillId="3" borderId="1" xfId="0" applyFont="1" applyFill="1" applyBorder="1" applyAlignment="1">
      <alignment wrapText="1"/>
    </xf>
    <xf numFmtId="49" fontId="6" fillId="3" borderId="1" xfId="0" applyNumberFormat="1" applyFont="1" applyFill="1" applyBorder="1" applyAlignment="1">
      <alignment horizontal="center"/>
    </xf>
    <xf numFmtId="0" fontId="6" fillId="3" borderId="1" xfId="0" applyFont="1" applyFill="1" applyBorder="1" applyAlignment="1">
      <alignment horizontal="center"/>
    </xf>
    <xf numFmtId="49" fontId="7" fillId="3" borderId="1" xfId="0" applyNumberFormat="1" applyFont="1" applyFill="1" applyBorder="1" applyAlignment="1">
      <alignment horizontal="center"/>
    </xf>
    <xf numFmtId="0" fontId="7" fillId="3" borderId="1" xfId="0" applyFont="1" applyFill="1" applyBorder="1" applyAlignment="1">
      <alignment horizontal="center"/>
    </xf>
    <xf numFmtId="49" fontId="7" fillId="0" borderId="1" xfId="0" applyNumberFormat="1" applyFont="1" applyBorder="1" applyAlignment="1">
      <alignment horizontal="center"/>
    </xf>
    <xf numFmtId="0" fontId="7" fillId="0" borderId="1" xfId="0" applyFont="1" applyBorder="1" applyAlignment="1">
      <alignment horizontal="center"/>
    </xf>
    <xf numFmtId="49" fontId="7" fillId="3" borderId="1" xfId="0" applyNumberFormat="1" applyFont="1" applyFill="1" applyBorder="1" applyAlignment="1">
      <alignment horizontal="left" wrapText="1"/>
    </xf>
    <xf numFmtId="0" fontId="7" fillId="3" borderId="1" xfId="0" applyFont="1" applyFill="1" applyBorder="1" applyAlignment="1">
      <alignment horizontal="left" wrapText="1"/>
    </xf>
    <xf numFmtId="49" fontId="7" fillId="3" borderId="1" xfId="0" applyNumberFormat="1" applyFont="1" applyFill="1" applyBorder="1" applyAlignment="1">
      <alignment horizontal="center" wrapText="1"/>
    </xf>
    <xf numFmtId="0" fontId="7" fillId="3" borderId="1" xfId="0" applyFont="1" applyFill="1" applyBorder="1" applyAlignment="1">
      <alignment horizontal="center" wrapText="1"/>
    </xf>
    <xf numFmtId="49" fontId="5" fillId="3" borderId="1" xfId="0" applyNumberFormat="1" applyFont="1" applyFill="1" applyBorder="1" applyAlignment="1">
      <alignment vertical="top" wrapText="1"/>
    </xf>
    <xf numFmtId="0" fontId="0" fillId="3" borderId="1" xfId="0" applyFill="1" applyBorder="1" applyAlignment="1">
      <alignment vertical="top" wrapText="1"/>
    </xf>
    <xf numFmtId="0" fontId="5" fillId="3" borderId="1" xfId="0" applyFont="1" applyFill="1" applyBorder="1" applyAlignment="1">
      <alignment vertical="top" wrapText="1"/>
    </xf>
    <xf numFmtId="49" fontId="7" fillId="3" borderId="1" xfId="0" applyNumberFormat="1" applyFont="1" applyFill="1" applyBorder="1" applyAlignment="1">
      <alignment horizontal="left" vertical="center" wrapText="1"/>
    </xf>
    <xf numFmtId="0" fontId="7" fillId="3" borderId="1" xfId="0" applyFont="1" applyFill="1" applyBorder="1" applyAlignment="1">
      <alignment horizontal="left" vertical="center" wrapText="1"/>
    </xf>
    <xf numFmtId="49" fontId="4" fillId="3" borderId="1" xfId="0" applyNumberFormat="1" applyFont="1" applyFill="1" applyBorder="1" applyAlignment="1">
      <alignment horizontal="left" vertical="top" wrapText="1"/>
    </xf>
    <xf numFmtId="0" fontId="21" fillId="3" borderId="1" xfId="0" applyFont="1" applyFill="1" applyBorder="1" applyAlignment="1">
      <alignment horizontal="left" vertical="top" wrapText="1"/>
    </xf>
    <xf numFmtId="49" fontId="22" fillId="3" borderId="1" xfId="0" applyNumberFormat="1" applyFont="1" applyFill="1" applyBorder="1" applyAlignment="1">
      <alignment horizontal="center" wrapText="1"/>
    </xf>
    <xf numFmtId="0" fontId="22" fillId="3" borderId="1" xfId="0" applyFont="1" applyFill="1" applyBorder="1" applyAlignment="1">
      <alignment horizontal="center" wrapText="1"/>
    </xf>
  </cellXfs>
  <cellStyles count="2">
    <cellStyle name="Comma" xfId="1" builtinId="3"/>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EEECE1"/>
      <rgbColor rgb="FF444444"/>
      <rgbColor rgb="FF3B608D"/>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190500</xdr:rowOff>
    </xdr:from>
    <xdr:to>
      <xdr:col>2</xdr:col>
      <xdr:colOff>1905000</xdr:colOff>
      <xdr:row>54</xdr:row>
      <xdr:rowOff>139700</xdr:rowOff>
    </xdr:to>
    <xdr:grpSp>
      <xdr:nvGrpSpPr>
        <xdr:cNvPr id="4" name="Group">
          <a:extLst>
            <a:ext uri="{FF2B5EF4-FFF2-40B4-BE49-F238E27FC236}">
              <a16:creationId xmlns:a16="http://schemas.microsoft.com/office/drawing/2014/main" id="{00000000-0008-0000-0100-000004000000}"/>
            </a:ext>
          </a:extLst>
        </xdr:cNvPr>
        <xdr:cNvGrpSpPr/>
      </xdr:nvGrpSpPr>
      <xdr:grpSpPr>
        <a:xfrm>
          <a:off x="0" y="14058900"/>
          <a:ext cx="6235700" cy="8267700"/>
          <a:chOff x="0" y="0"/>
          <a:chExt cx="6235700" cy="8331200"/>
        </a:xfrm>
      </xdr:grpSpPr>
      <xdr:sp macro="" textlink="">
        <xdr:nvSpPr>
          <xdr:cNvPr id="2" name="Rectangle">
            <a:extLst>
              <a:ext uri="{FF2B5EF4-FFF2-40B4-BE49-F238E27FC236}">
                <a16:creationId xmlns:a16="http://schemas.microsoft.com/office/drawing/2014/main" id="{00000000-0008-0000-0100-000002000000}"/>
              </a:ext>
            </a:extLst>
          </xdr:cNvPr>
          <xdr:cNvSpPr/>
        </xdr:nvSpPr>
        <xdr:spPr>
          <a:xfrm>
            <a:off x="0" y="0"/>
            <a:ext cx="6235700" cy="8331200"/>
          </a:xfrm>
          <a:prstGeom prst="rect">
            <a:avLst/>
          </a:prstGeom>
          <a:solidFill>
            <a:srgbClr val="FFFFFF"/>
          </a:solidFill>
          <a:ln w="12700" cap="flat">
            <a:noFill/>
            <a:miter lim="400000"/>
          </a:ln>
          <a:effectLst/>
        </xdr:spPr>
        <xdr:txBody>
          <a:bodyPr/>
          <a:lstStyle/>
          <a:p>
            <a:endParaRPr/>
          </a:p>
        </xdr:txBody>
      </xdr:sp>
      <xdr:pic>
        <xdr:nvPicPr>
          <xdr:cNvPr id="3" name="image1.pdf" descr="image1.pd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6235700" cy="8331200"/>
          </a:xfrm>
          <a:prstGeom prst="rect">
            <a:avLst/>
          </a:prstGeom>
          <a:ln w="9525" cap="flat">
            <a:solidFill>
              <a:srgbClr val="000000"/>
            </a:solidFill>
            <a:prstDash val="solid"/>
            <a:round/>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63500</xdr:colOff>
      <xdr:row>30</xdr:row>
      <xdr:rowOff>63500</xdr:rowOff>
    </xdr:from>
    <xdr:to>
      <xdr:col>7</xdr:col>
      <xdr:colOff>266700</xdr:colOff>
      <xdr:row>64</xdr:row>
      <xdr:rowOff>152400</xdr:rowOff>
    </xdr:to>
    <xdr:grpSp>
      <xdr:nvGrpSpPr>
        <xdr:cNvPr id="8" name="Group">
          <a:extLst>
            <a:ext uri="{FF2B5EF4-FFF2-40B4-BE49-F238E27FC236}">
              <a16:creationId xmlns:a16="http://schemas.microsoft.com/office/drawing/2014/main" id="{00000000-0008-0000-0E00-000008000000}"/>
            </a:ext>
          </a:extLst>
        </xdr:cNvPr>
        <xdr:cNvGrpSpPr/>
      </xdr:nvGrpSpPr>
      <xdr:grpSpPr>
        <a:xfrm>
          <a:off x="63500" y="6934200"/>
          <a:ext cx="6756400" cy="5702300"/>
          <a:chOff x="0" y="0"/>
          <a:chExt cx="6756400" cy="5702300"/>
        </a:xfrm>
      </xdr:grpSpPr>
      <xdr:sp macro="" textlink="">
        <xdr:nvSpPr>
          <xdr:cNvPr id="6" name="Rectangle">
            <a:extLst>
              <a:ext uri="{FF2B5EF4-FFF2-40B4-BE49-F238E27FC236}">
                <a16:creationId xmlns:a16="http://schemas.microsoft.com/office/drawing/2014/main" id="{00000000-0008-0000-0E00-000006000000}"/>
              </a:ext>
            </a:extLst>
          </xdr:cNvPr>
          <xdr:cNvSpPr/>
        </xdr:nvSpPr>
        <xdr:spPr>
          <a:xfrm>
            <a:off x="0" y="0"/>
            <a:ext cx="6756400" cy="5702300"/>
          </a:xfrm>
          <a:prstGeom prst="rect">
            <a:avLst/>
          </a:prstGeom>
          <a:solidFill>
            <a:srgbClr val="FFFFFF"/>
          </a:solidFill>
          <a:ln w="12700" cap="flat">
            <a:noFill/>
            <a:miter lim="400000"/>
          </a:ln>
          <a:effectLst/>
        </xdr:spPr>
        <xdr:txBody>
          <a:bodyPr/>
          <a:lstStyle/>
          <a:p>
            <a:endParaRPr/>
          </a:p>
        </xdr:txBody>
      </xdr:sp>
      <xdr:pic>
        <xdr:nvPicPr>
          <xdr:cNvPr id="7" name="image2.pdf" descr="image2.pdf">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0" y="0"/>
            <a:ext cx="6756400" cy="5702300"/>
          </a:xfrm>
          <a:prstGeom prst="rect">
            <a:avLst/>
          </a:prstGeom>
          <a:ln w="9525" cap="flat">
            <a:solidFill>
              <a:srgbClr val="000000"/>
            </a:solidFill>
            <a:prstDash val="solid"/>
            <a:round/>
          </a:ln>
          <a:effectLst/>
        </xdr:spPr>
      </xdr:pic>
    </xdr:grpSp>
    <xdr:clientData/>
  </xdr:twoCellAnchor>
  <xdr:twoCellAnchor>
    <xdr:from>
      <xdr:col>0</xdr:col>
      <xdr:colOff>50800</xdr:colOff>
      <xdr:row>27</xdr:row>
      <xdr:rowOff>139700</xdr:rowOff>
    </xdr:from>
    <xdr:to>
      <xdr:col>6</xdr:col>
      <xdr:colOff>876300</xdr:colOff>
      <xdr:row>30</xdr:row>
      <xdr:rowOff>0</xdr:rowOff>
    </xdr:to>
    <xdr:grpSp>
      <xdr:nvGrpSpPr>
        <xdr:cNvPr id="11" name="Group">
          <a:extLst>
            <a:ext uri="{FF2B5EF4-FFF2-40B4-BE49-F238E27FC236}">
              <a16:creationId xmlns:a16="http://schemas.microsoft.com/office/drawing/2014/main" id="{00000000-0008-0000-0E00-00000B000000}"/>
            </a:ext>
          </a:extLst>
        </xdr:cNvPr>
        <xdr:cNvGrpSpPr/>
      </xdr:nvGrpSpPr>
      <xdr:grpSpPr>
        <a:xfrm>
          <a:off x="50800" y="6515100"/>
          <a:ext cx="6273800" cy="355600"/>
          <a:chOff x="0" y="0"/>
          <a:chExt cx="6273800" cy="355600"/>
        </a:xfrm>
      </xdr:grpSpPr>
      <xdr:sp macro="" textlink="">
        <xdr:nvSpPr>
          <xdr:cNvPr id="9" name="Rectangle">
            <a:extLst>
              <a:ext uri="{FF2B5EF4-FFF2-40B4-BE49-F238E27FC236}">
                <a16:creationId xmlns:a16="http://schemas.microsoft.com/office/drawing/2014/main" id="{00000000-0008-0000-0E00-000009000000}"/>
              </a:ext>
            </a:extLst>
          </xdr:cNvPr>
          <xdr:cNvSpPr/>
        </xdr:nvSpPr>
        <xdr:spPr>
          <a:xfrm>
            <a:off x="0" y="0"/>
            <a:ext cx="6273800" cy="355600"/>
          </a:xfrm>
          <a:prstGeom prst="rect">
            <a:avLst/>
          </a:prstGeom>
          <a:solidFill>
            <a:srgbClr val="FFFFFF"/>
          </a:solidFill>
          <a:ln w="12700" cap="flat">
            <a:noFill/>
            <a:miter lim="400000"/>
          </a:ln>
          <a:effectLst/>
        </xdr:spPr>
        <xdr:txBody>
          <a:bodyPr/>
          <a:lstStyle/>
          <a:p>
            <a:endParaRPr/>
          </a:p>
        </xdr:txBody>
      </xdr:sp>
      <xdr:pic>
        <xdr:nvPicPr>
          <xdr:cNvPr id="10" name="image3.pdf" descr="image3.pdf">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6273800" cy="355600"/>
          </a:xfrm>
          <a:prstGeom prst="rect">
            <a:avLst/>
          </a:prstGeom>
          <a:ln w="9525" cap="flat">
            <a:solidFill>
              <a:srgbClr val="000000"/>
            </a:solidFill>
            <a:prstDash val="solid"/>
            <a:round/>
          </a:ln>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88900</xdr:colOff>
      <xdr:row>19</xdr:row>
      <xdr:rowOff>25400</xdr:rowOff>
    </xdr:from>
    <xdr:to>
      <xdr:col>7</xdr:col>
      <xdr:colOff>317500</xdr:colOff>
      <xdr:row>69</xdr:row>
      <xdr:rowOff>63500</xdr:rowOff>
    </xdr:to>
    <xdr:grpSp>
      <xdr:nvGrpSpPr>
        <xdr:cNvPr id="15" name="Group">
          <a:extLst>
            <a:ext uri="{FF2B5EF4-FFF2-40B4-BE49-F238E27FC236}">
              <a16:creationId xmlns:a16="http://schemas.microsoft.com/office/drawing/2014/main" id="{00000000-0008-0000-0F00-00000F000000}"/>
            </a:ext>
          </a:extLst>
        </xdr:cNvPr>
        <xdr:cNvGrpSpPr/>
      </xdr:nvGrpSpPr>
      <xdr:grpSpPr>
        <a:xfrm>
          <a:off x="88900" y="4178300"/>
          <a:ext cx="6769100" cy="8293100"/>
          <a:chOff x="0" y="0"/>
          <a:chExt cx="6769100" cy="8293100"/>
        </a:xfrm>
      </xdr:grpSpPr>
      <xdr:sp macro="" textlink="">
        <xdr:nvSpPr>
          <xdr:cNvPr id="13" name="Rectangle">
            <a:extLst>
              <a:ext uri="{FF2B5EF4-FFF2-40B4-BE49-F238E27FC236}">
                <a16:creationId xmlns:a16="http://schemas.microsoft.com/office/drawing/2014/main" id="{00000000-0008-0000-0F00-00000D000000}"/>
              </a:ext>
            </a:extLst>
          </xdr:cNvPr>
          <xdr:cNvSpPr/>
        </xdr:nvSpPr>
        <xdr:spPr>
          <a:xfrm>
            <a:off x="0" y="0"/>
            <a:ext cx="6769100" cy="8293100"/>
          </a:xfrm>
          <a:prstGeom prst="rect">
            <a:avLst/>
          </a:prstGeom>
          <a:solidFill>
            <a:srgbClr val="FFFFFF"/>
          </a:solidFill>
          <a:ln w="12700" cap="flat">
            <a:noFill/>
            <a:miter lim="400000"/>
          </a:ln>
          <a:effectLst/>
        </xdr:spPr>
        <xdr:txBody>
          <a:bodyPr/>
          <a:lstStyle/>
          <a:p>
            <a:endParaRPr/>
          </a:p>
        </xdr:txBody>
      </xdr:sp>
      <xdr:pic>
        <xdr:nvPicPr>
          <xdr:cNvPr id="14" name="image4.pdf" descr="image4.pdf">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a:stretch>
            <a:fillRect/>
          </a:stretch>
        </xdr:blipFill>
        <xdr:spPr>
          <a:xfrm>
            <a:off x="0" y="0"/>
            <a:ext cx="6769100" cy="8293100"/>
          </a:xfrm>
          <a:prstGeom prst="rect">
            <a:avLst/>
          </a:prstGeom>
          <a:ln w="9525" cap="flat">
            <a:solidFill>
              <a:srgbClr val="000000"/>
            </a:solidFill>
            <a:prstDash val="solid"/>
            <a:round/>
          </a:ln>
          <a:effectLst/>
        </xdr:spPr>
      </xdr:pic>
    </xdr:grpSp>
    <xdr:clientData/>
  </xdr:twoCellAnchor>
  <xdr:twoCellAnchor>
    <xdr:from>
      <xdr:col>0</xdr:col>
      <xdr:colOff>50800</xdr:colOff>
      <xdr:row>16</xdr:row>
      <xdr:rowOff>12700</xdr:rowOff>
    </xdr:from>
    <xdr:to>
      <xdr:col>6</xdr:col>
      <xdr:colOff>889000</xdr:colOff>
      <xdr:row>18</xdr:row>
      <xdr:rowOff>0</xdr:rowOff>
    </xdr:to>
    <xdr:grpSp>
      <xdr:nvGrpSpPr>
        <xdr:cNvPr id="18" name="Group">
          <a:extLst>
            <a:ext uri="{FF2B5EF4-FFF2-40B4-BE49-F238E27FC236}">
              <a16:creationId xmlns:a16="http://schemas.microsoft.com/office/drawing/2014/main" id="{00000000-0008-0000-0F00-000012000000}"/>
            </a:ext>
          </a:extLst>
        </xdr:cNvPr>
        <xdr:cNvGrpSpPr/>
      </xdr:nvGrpSpPr>
      <xdr:grpSpPr>
        <a:xfrm>
          <a:off x="50800" y="3632200"/>
          <a:ext cx="6286500" cy="355600"/>
          <a:chOff x="0" y="0"/>
          <a:chExt cx="6286500" cy="355600"/>
        </a:xfrm>
      </xdr:grpSpPr>
      <xdr:sp macro="" textlink="">
        <xdr:nvSpPr>
          <xdr:cNvPr id="16" name="Rectangle">
            <a:extLst>
              <a:ext uri="{FF2B5EF4-FFF2-40B4-BE49-F238E27FC236}">
                <a16:creationId xmlns:a16="http://schemas.microsoft.com/office/drawing/2014/main" id="{00000000-0008-0000-0F00-000010000000}"/>
              </a:ext>
            </a:extLst>
          </xdr:cNvPr>
          <xdr:cNvSpPr/>
        </xdr:nvSpPr>
        <xdr:spPr>
          <a:xfrm>
            <a:off x="0" y="0"/>
            <a:ext cx="6286500" cy="355600"/>
          </a:xfrm>
          <a:prstGeom prst="rect">
            <a:avLst/>
          </a:prstGeom>
          <a:solidFill>
            <a:srgbClr val="FFFFFF"/>
          </a:solidFill>
          <a:ln w="12700" cap="flat">
            <a:noFill/>
            <a:miter lim="400000"/>
          </a:ln>
          <a:effectLst/>
        </xdr:spPr>
        <xdr:txBody>
          <a:bodyPr/>
          <a:lstStyle/>
          <a:p>
            <a:endParaRPr/>
          </a:p>
        </xdr:txBody>
      </xdr:sp>
      <xdr:pic>
        <xdr:nvPicPr>
          <xdr:cNvPr id="17" name="image3.pdf" descr="image3.pdf">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2"/>
          <a:stretch>
            <a:fillRect/>
          </a:stretch>
        </xdr:blipFill>
        <xdr:spPr>
          <a:xfrm>
            <a:off x="0" y="0"/>
            <a:ext cx="6286500" cy="355600"/>
          </a:xfrm>
          <a:prstGeom prst="rect">
            <a:avLst/>
          </a:prstGeom>
          <a:ln w="9525" cap="flat">
            <a:solidFill>
              <a:srgbClr val="000000"/>
            </a:solidFill>
            <a:prstDash val="solid"/>
            <a:round/>
          </a:ln>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18</xdr:row>
      <xdr:rowOff>63500</xdr:rowOff>
    </xdr:from>
    <xdr:to>
      <xdr:col>3</xdr:col>
      <xdr:colOff>0</xdr:colOff>
      <xdr:row>37</xdr:row>
      <xdr:rowOff>0</xdr:rowOff>
    </xdr:to>
    <xdr:grpSp>
      <xdr:nvGrpSpPr>
        <xdr:cNvPr id="22" name="Group">
          <a:extLst>
            <a:ext uri="{FF2B5EF4-FFF2-40B4-BE49-F238E27FC236}">
              <a16:creationId xmlns:a16="http://schemas.microsoft.com/office/drawing/2014/main" id="{00000000-0008-0000-1C00-000016000000}"/>
            </a:ext>
          </a:extLst>
        </xdr:cNvPr>
        <xdr:cNvGrpSpPr/>
      </xdr:nvGrpSpPr>
      <xdr:grpSpPr>
        <a:xfrm>
          <a:off x="114300" y="8140700"/>
          <a:ext cx="6477000" cy="8051800"/>
          <a:chOff x="0" y="0"/>
          <a:chExt cx="6477000" cy="8115300"/>
        </a:xfrm>
      </xdr:grpSpPr>
      <xdr:sp macro="" textlink="">
        <xdr:nvSpPr>
          <xdr:cNvPr id="20" name="Rectangle">
            <a:extLst>
              <a:ext uri="{FF2B5EF4-FFF2-40B4-BE49-F238E27FC236}">
                <a16:creationId xmlns:a16="http://schemas.microsoft.com/office/drawing/2014/main" id="{00000000-0008-0000-1C00-000014000000}"/>
              </a:ext>
            </a:extLst>
          </xdr:cNvPr>
          <xdr:cNvSpPr/>
        </xdr:nvSpPr>
        <xdr:spPr>
          <a:xfrm>
            <a:off x="0" y="0"/>
            <a:ext cx="6477000" cy="8115300"/>
          </a:xfrm>
          <a:prstGeom prst="rect">
            <a:avLst/>
          </a:prstGeom>
          <a:solidFill>
            <a:srgbClr val="FFFFFF"/>
          </a:solidFill>
          <a:ln w="12700" cap="flat">
            <a:noFill/>
            <a:miter lim="400000"/>
          </a:ln>
          <a:effectLst/>
        </xdr:spPr>
        <xdr:txBody>
          <a:bodyPr/>
          <a:lstStyle/>
          <a:p>
            <a:endParaRPr/>
          </a:p>
        </xdr:txBody>
      </xdr:sp>
      <xdr:pic>
        <xdr:nvPicPr>
          <xdr:cNvPr id="21" name="image5.pdf" descr="image5.pdf">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
          <a:stretch>
            <a:fillRect/>
          </a:stretch>
        </xdr:blipFill>
        <xdr:spPr>
          <a:xfrm>
            <a:off x="0" y="0"/>
            <a:ext cx="6477000" cy="8115300"/>
          </a:xfrm>
          <a:prstGeom prst="rect">
            <a:avLst/>
          </a:prstGeom>
          <a:ln w="9525" cap="flat">
            <a:solidFill>
              <a:srgbClr val="000000"/>
            </a:solidFill>
            <a:prstDash val="solid"/>
            <a:round/>
          </a:ln>
          <a:effectLst/>
        </xdr:spPr>
      </xdr:pic>
    </xdr:grpSp>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46"/>
  <sheetViews>
    <sheetView showGridLines="0" tabSelected="1" topLeftCell="B9" workbookViewId="0">
      <selection activeCell="F27" sqref="F27"/>
    </sheetView>
  </sheetViews>
  <sheetFormatPr baseColWidth="10" defaultColWidth="10" defaultRowHeight="13" customHeight="1"/>
  <cols>
    <col min="1" max="1" width="2" customWidth="1"/>
    <col min="2" max="4" width="33.6640625" customWidth="1"/>
  </cols>
  <sheetData>
    <row r="3" spans="2:4" ht="50" customHeight="1">
      <c r="B3" s="221"/>
      <c r="C3" s="222"/>
      <c r="D3" s="222"/>
    </row>
    <row r="7" spans="2:4" ht="18">
      <c r="B7" s="1" t="s">
        <v>591</v>
      </c>
      <c r="C7" s="1"/>
      <c r="D7" s="1"/>
    </row>
    <row r="9" spans="2:4" ht="16">
      <c r="B9" s="3" t="s">
        <v>0</v>
      </c>
      <c r="C9" s="2"/>
      <c r="D9" s="3"/>
    </row>
    <row r="10" spans="2:4" ht="16">
      <c r="B10" s="3" t="s">
        <v>630</v>
      </c>
      <c r="C10" s="2"/>
      <c r="D10" s="3"/>
    </row>
    <row r="11" spans="2:4" ht="16">
      <c r="B11" s="3" t="s">
        <v>90</v>
      </c>
      <c r="C11" s="2"/>
      <c r="D11" s="3"/>
    </row>
    <row r="12" spans="2:4" ht="16">
      <c r="B12" s="3" t="s">
        <v>98</v>
      </c>
      <c r="C12" s="2"/>
      <c r="D12" s="3"/>
    </row>
    <row r="13" spans="2:4" ht="16">
      <c r="B13" s="3" t="s">
        <v>106</v>
      </c>
      <c r="C13" s="2"/>
      <c r="D13" s="3"/>
    </row>
    <row r="14" spans="2:4" ht="16">
      <c r="B14" s="3" t="s">
        <v>122</v>
      </c>
      <c r="C14" s="2"/>
      <c r="D14" s="3"/>
    </row>
    <row r="15" spans="2:4" ht="16">
      <c r="B15" s="3" t="s">
        <v>129</v>
      </c>
      <c r="C15" s="2"/>
    </row>
    <row r="16" spans="2:4" ht="16">
      <c r="B16" s="3" t="s">
        <v>140</v>
      </c>
      <c r="C16" s="2"/>
    </row>
    <row r="17" spans="2:3" ht="16">
      <c r="B17" s="3" t="s">
        <v>147</v>
      </c>
      <c r="C17" s="2"/>
    </row>
    <row r="18" spans="2:3" ht="16">
      <c r="B18" s="3" t="s">
        <v>159</v>
      </c>
      <c r="C18" s="2"/>
    </row>
    <row r="19" spans="2:3" ht="16">
      <c r="B19" s="3" t="s">
        <v>167</v>
      </c>
      <c r="C19" s="2"/>
    </row>
    <row r="20" spans="2:3" ht="16">
      <c r="B20" s="3" t="s">
        <v>175</v>
      </c>
      <c r="C20" s="2"/>
    </row>
    <row r="21" spans="2:3" ht="16">
      <c r="B21" s="3" t="s">
        <v>629</v>
      </c>
      <c r="C21" s="2"/>
    </row>
    <row r="22" spans="2:3" ht="16">
      <c r="B22" s="3" t="s">
        <v>218</v>
      </c>
      <c r="C22" s="2"/>
    </row>
    <row r="23" spans="2:3" ht="16">
      <c r="B23" s="3" t="s">
        <v>235</v>
      </c>
      <c r="C23" s="2"/>
    </row>
    <row r="24" spans="2:3" ht="16">
      <c r="B24" s="3" t="s">
        <v>240</v>
      </c>
      <c r="C24" s="2"/>
    </row>
    <row r="25" spans="2:3" ht="16">
      <c r="B25" s="3" t="s">
        <v>263</v>
      </c>
      <c r="C25" s="2"/>
    </row>
    <row r="26" spans="2:3" ht="16">
      <c r="B26" s="3" t="s">
        <v>287</v>
      </c>
      <c r="C26" s="2"/>
    </row>
    <row r="27" spans="2:3" ht="16">
      <c r="B27" s="3" t="s">
        <v>309</v>
      </c>
      <c r="C27" s="2"/>
    </row>
    <row r="28" spans="2:3" ht="16">
      <c r="B28" s="3" t="s">
        <v>330</v>
      </c>
      <c r="C28" s="2"/>
    </row>
    <row r="29" spans="2:3" ht="16">
      <c r="B29" s="3" t="s">
        <v>360</v>
      </c>
      <c r="C29" s="2"/>
    </row>
    <row r="30" spans="2:3" ht="16">
      <c r="B30" s="3" t="s">
        <v>366</v>
      </c>
      <c r="C30" s="2"/>
    </row>
    <row r="31" spans="2:3" ht="16">
      <c r="B31" s="3" t="s">
        <v>376</v>
      </c>
      <c r="C31" s="2"/>
    </row>
    <row r="32" spans="2:3" ht="16">
      <c r="B32" s="3" t="s">
        <v>390</v>
      </c>
      <c r="C32" s="2"/>
    </row>
    <row r="33" spans="2:3" ht="16">
      <c r="B33" s="3" t="s">
        <v>409</v>
      </c>
      <c r="C33" s="2"/>
    </row>
    <row r="34" spans="2:3" ht="16">
      <c r="B34" s="3" t="s">
        <v>416</v>
      </c>
      <c r="C34" s="2"/>
    </row>
    <row r="35" spans="2:3" ht="16">
      <c r="B35" s="3" t="s">
        <v>425</v>
      </c>
      <c r="C35" s="2"/>
    </row>
    <row r="36" spans="2:3" ht="16">
      <c r="B36" s="3" t="s">
        <v>461</v>
      </c>
      <c r="C36" s="2"/>
    </row>
    <row r="37" spans="2:3" ht="16">
      <c r="B37" s="3" t="s">
        <v>476</v>
      </c>
      <c r="C37" s="2"/>
    </row>
    <row r="38" spans="2:3" ht="16">
      <c r="B38" s="3" t="s">
        <v>486</v>
      </c>
      <c r="C38" s="2"/>
    </row>
    <row r="39" spans="2:3" ht="16">
      <c r="B39" s="3" t="s">
        <v>507</v>
      </c>
      <c r="C39" s="2"/>
    </row>
    <row r="40" spans="2:3" ht="16">
      <c r="B40" s="3" t="s">
        <v>516</v>
      </c>
      <c r="C40" s="2"/>
    </row>
    <row r="41" spans="2:3" ht="16">
      <c r="B41" s="3" t="s">
        <v>525</v>
      </c>
      <c r="C41" s="2"/>
    </row>
    <row r="42" spans="2:3" ht="16">
      <c r="B42" s="3" t="s">
        <v>533</v>
      </c>
      <c r="C42" s="2"/>
    </row>
    <row r="43" spans="2:3" ht="16">
      <c r="B43" s="3" t="s">
        <v>553</v>
      </c>
      <c r="C43" s="2"/>
    </row>
    <row r="44" spans="2:3" ht="16">
      <c r="B44" s="3" t="s">
        <v>561</v>
      </c>
      <c r="C44" s="2"/>
    </row>
    <row r="45" spans="2:3" ht="16">
      <c r="B45" s="3" t="s">
        <v>568</v>
      </c>
      <c r="C45" s="2"/>
    </row>
    <row r="46" spans="2:3" ht="16">
      <c r="B46" s="3" t="s">
        <v>628</v>
      </c>
      <c r="C46" s="2"/>
    </row>
  </sheetData>
  <mergeCells count="1">
    <mergeCell ref="B3:D3"/>
  </mergeCells>
  <hyperlinks>
    <hyperlink ref="B15" location="'S6-Trescott 1960'!R1C1" display="S6-Trescott 1960" xr:uid="{00000000-0004-0000-0000-000006000000}"/>
    <hyperlink ref="B16" location="'S7-Trescott 1966'!R1C1" display="S7-Trescott 1966" xr:uid="{00000000-0004-0000-0000-000007000000}"/>
    <hyperlink ref="B17" location="'S8-NFI 1820-1860'!R1C1" display="S8-NFI 1820-1860" xr:uid="{00000000-0004-0000-0000-000008000000}"/>
    <hyperlink ref="B18" location="'S9 -  NFI 1869-1899'!R1C1" display="S9 -  NFI 1869-1899" xr:uid="{00000000-0004-0000-0000-000009000000}"/>
    <hyperlink ref="B19" location="'S10 - NFI 1900-1909'!R1C1" display="S10 - NFI 1900-1909" xr:uid="{00000000-0004-0000-0000-00000A000000}"/>
    <hyperlink ref="B20" location="'S11a -Population 1790 to 1900'!R1C1" display="S11a -Population 1790 to 1900" xr:uid="{00000000-0004-0000-0000-00000B000000}"/>
    <hyperlink ref="B21" location="'S11b Population 1900 to 2020'!R1C1" display="S11b Population 1900 to 2020" xr:uid="{00000000-0004-0000-0000-00000C000000}"/>
    <hyperlink ref="B22" location="'S12 - Weiss 1993 Table A2'!R1C1" display="S12 - Weiss 1993 Table A2" xr:uid="{00000000-0004-0000-0000-00000D000000}"/>
    <hyperlink ref="B23" location="'S13 -Weiss 1993 Table A3'!R1C1" display="S13 -Weiss 1993 Table A3" xr:uid="{00000000-0004-0000-0000-00000E000000}"/>
    <hyperlink ref="B24" location="'S14-Gallman (1966) Table A-1'!R1C1" display="S14-Gallman (1966) Table A-1" xr:uid="{00000000-0004-0000-0000-00000F000000}"/>
    <hyperlink ref="B25" location="'S15-Gallman (2000) Table 1.3'!R1C1" display="S15-Gallman (2000) Table 1.3" xr:uid="{00000000-0004-0000-0000-000010000000}"/>
    <hyperlink ref="B26" location="'S16-Gallman (1966) Table A-2'!R1C1" display="S16-Gallman (1966) Table A-2" xr:uid="{00000000-0004-0000-0000-000011000000}"/>
    <hyperlink ref="B27" location="'S18-Gallman-Weiss Tables'!R1C1" display="S18-Gallman-Weiss Tables" xr:uid="{00000000-0004-0000-0000-000013000000}"/>
    <hyperlink ref="B28" location="'S19-Rhode Table 1 &amp; 2'!R1C1" display="S19-Rhode Table 1 &amp; 2" xr:uid="{00000000-0004-0000-0000-000014000000}"/>
    <hyperlink ref="B29" location="'S20-Rhode Table 3'!R1C1" display="S20-Rhode Table 3" xr:uid="{00000000-0004-0000-0000-000015000000}"/>
    <hyperlink ref="B30" location="'S21-Olney durables'!R1C1" display="S21-Olney durables" xr:uid="{00000000-0004-0000-0000-000016000000}"/>
    <hyperlink ref="B31" location="'S22-Gallman agriculture'!R1C1" display="S22-Gallman agriculture" xr:uid="{00000000-0004-0000-0000-000017000000}"/>
    <hyperlink ref="B32" location="'S-23 Kendrick GNP-GDP'!R1C1" display="S-23 Kendrick GNP-GDP" xr:uid="{00000000-0004-0000-0000-000018000000}"/>
    <hyperlink ref="B33" location="'S24-Kendrick government'!R1C1" display="S24-Kendrick government" xr:uid="{00000000-0004-0000-0000-000019000000}"/>
    <hyperlink ref="B34" location="'S25-Weiss 1975 table 72'!R1C1" display="S25-Weiss 1975 table 72" xr:uid="{00000000-0004-0000-0000-00001A000000}"/>
    <hyperlink ref="B35" location="'Guide to computation (E) sheets'!R1C1" display="Guide to computation (E) sheets" xr:uid="{00000000-0004-0000-0000-00001B000000}"/>
    <hyperlink ref="B36" location="'E1-Weiss replication'!R1C1" display="E1-Weiss replication" xr:uid="{00000000-0004-0000-0000-00001C000000}"/>
    <hyperlink ref="B37" location="'E2-Benchmarks, 1793-1829'!R1C1" display="E2-Benchmarks, 1793-1829" xr:uid="{00000000-0004-0000-0000-00001D000000}"/>
    <hyperlink ref="B38" location="'E3-Benchmarks, 1839-1859'!R1C1" display="E3-Benchmarks, 1839-1859" xr:uid="{00000000-0004-0000-0000-00001E000000}"/>
    <hyperlink ref="B39" location="'E4-Benchmarks, 1869-1909'!R1C1" display="E4-Benchmarks, 1869-1909" xr:uid="{00000000-0004-0000-0000-00001F000000}"/>
    <hyperlink ref="B40" location="'E5 - GDP deflator 1790-1909'!R1C1" display="E5 - GDP deflator 1790-1909" xr:uid="{00000000-0004-0000-0000-000020000000}"/>
    <hyperlink ref="B41" location="'E6 - Ag share of GDP 1793-1859'!R1C1" display="E6 - Ag share of GDP 1793-1859" xr:uid="{00000000-0004-0000-0000-000021000000}"/>
    <hyperlink ref="B42" location="'E7 -Real GDP 1790-1799'!R1C1" display="E7 -Real GDP 1790-1799" xr:uid="{00000000-0004-0000-0000-000022000000}"/>
    <hyperlink ref="B43" location="'E8 -Real GDP 1799-1869'!R1C1" display="E8 -Real GDP 1799-1869" xr:uid="{00000000-0004-0000-0000-000023000000}"/>
    <hyperlink ref="B44" location="'E9 -Real GDP 1869-1909'!R1C1" display="E9 -Real GDP 1869-1909" xr:uid="{00000000-0004-0000-0000-000024000000}"/>
    <hyperlink ref="B45" location="'E10 - GDP, 1790-1909'!R1C1" display="E10 - GDP, 1790-1909" xr:uid="{00000000-0004-0000-0000-000025000000}"/>
    <hyperlink ref="B46" location="'E11 - GDP 1790-2021'!R1C1" display="E11 - GDP 1790-2021" xr:uid="{00000000-0004-0000-0000-000026000000}"/>
    <hyperlink ref="B9" location="'Guide to Source (S) sheets'!R1C1" display="Guide to Source (S) sheets" xr:uid="{4CC60DB3-02EB-2C49-959F-6755C990B98A}"/>
    <hyperlink ref="B10" location="'S1 - BEA estimates 1929-2020'!R1C1" display="S1 - BEA estimates 1929-2020" xr:uid="{DEDEE9FE-BC44-3D40-8C0B-4D8998141DB0}"/>
    <hyperlink ref="B11" location="'S2 - David-Solar raw data'!R1C1" display="S2 - David-Solar raw data" xr:uid="{5DC14DE1-6DCB-4B44-999F-44E4B84456CD}"/>
    <hyperlink ref="B12" location="'S3 - Davis 2004 IIP'!R1C1" display="S3 - Davis 2004 IIP" xr:uid="{D4D64DAE-6379-FF4A-AF44-49C2C98730BF}"/>
    <hyperlink ref="B13" location="'S4 - Mancall and Weiss raw data'!R1C1" display="S4 - Mancall and Weiss raw data" xr:uid="{3651C84E-0B7D-CC47-B651-5DCA8A73A48B}"/>
    <hyperlink ref="B14" location="'S5 - McCusker Table 2'!R1C1" display="S5 - McCusker Table 2" xr:uid="{AA999088-B3E8-8E4A-A01A-2CD325FF9F8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0"/>
  <sheetViews>
    <sheetView showGridLines="0" workbookViewId="0"/>
  </sheetViews>
  <sheetFormatPr baseColWidth="10" defaultColWidth="9.1640625" defaultRowHeight="16" customHeight="1"/>
  <cols>
    <col min="1" max="1" width="9.1640625" style="4" customWidth="1"/>
    <col min="2" max="2" width="15.6640625" style="4" customWidth="1"/>
    <col min="3" max="4" width="16" style="4" customWidth="1"/>
    <col min="5" max="6" width="13.5" style="4" customWidth="1"/>
    <col min="7" max="7" width="9.1640625" style="4" customWidth="1"/>
    <col min="8" max="16384" width="9.1640625" style="4"/>
  </cols>
  <sheetData>
    <row r="1" spans="1:6" ht="17.5" customHeight="1">
      <c r="A1" s="8" t="s">
        <v>148</v>
      </c>
      <c r="B1" s="6"/>
      <c r="C1" s="6"/>
      <c r="D1" s="6"/>
      <c r="E1" s="6"/>
      <c r="F1" s="6"/>
    </row>
    <row r="2" spans="1:6" ht="17.5" customHeight="1">
      <c r="A2" s="8" t="s">
        <v>149</v>
      </c>
      <c r="B2" s="15"/>
      <c r="C2" s="6"/>
      <c r="D2" s="6"/>
      <c r="E2" s="6"/>
      <c r="F2" s="6"/>
    </row>
    <row r="3" spans="1:6" ht="17.5" customHeight="1">
      <c r="A3" s="19" t="s">
        <v>150</v>
      </c>
      <c r="B3" s="36"/>
      <c r="C3" s="6"/>
      <c r="D3" s="6"/>
      <c r="E3" s="6"/>
      <c r="F3" s="6"/>
    </row>
    <row r="4" spans="1:6" ht="17.5" customHeight="1">
      <c r="A4" s="19" t="s">
        <v>151</v>
      </c>
      <c r="B4" s="36"/>
      <c r="C4" s="6"/>
      <c r="D4" s="6"/>
      <c r="E4" s="6"/>
      <c r="F4" s="6"/>
    </row>
    <row r="5" spans="1:6" ht="17.5" customHeight="1">
      <c r="A5" s="19" t="s">
        <v>152</v>
      </c>
      <c r="B5" s="36"/>
      <c r="C5" s="6"/>
      <c r="D5" s="6"/>
      <c r="E5" s="6"/>
      <c r="F5" s="6"/>
    </row>
    <row r="6" spans="1:6" ht="17.5" customHeight="1">
      <c r="A6" s="37"/>
      <c r="B6" s="36"/>
      <c r="C6" s="6"/>
      <c r="D6" s="6"/>
      <c r="E6" s="6"/>
      <c r="F6" s="6"/>
    </row>
    <row r="7" spans="1:6" ht="17.5" customHeight="1">
      <c r="A7" s="19" t="s">
        <v>153</v>
      </c>
      <c r="B7" s="36"/>
      <c r="C7" s="6"/>
      <c r="D7" s="6"/>
      <c r="E7" s="6"/>
      <c r="F7" s="6"/>
    </row>
    <row r="8" spans="1:6" ht="13.75" customHeight="1">
      <c r="A8" s="6"/>
      <c r="B8" s="6"/>
      <c r="C8" s="6"/>
      <c r="D8" s="6"/>
      <c r="E8" s="6"/>
      <c r="F8" s="6"/>
    </row>
    <row r="9" spans="1:6" ht="51" customHeight="1">
      <c r="A9" s="6"/>
      <c r="B9" s="12" t="s">
        <v>154</v>
      </c>
      <c r="C9" s="12" t="s">
        <v>155</v>
      </c>
      <c r="D9" s="12" t="s">
        <v>156</v>
      </c>
      <c r="E9" s="12" t="s">
        <v>157</v>
      </c>
      <c r="F9" s="12" t="s">
        <v>158</v>
      </c>
    </row>
    <row r="10" spans="1:6" ht="17.5" customHeight="1">
      <c r="A10" s="38">
        <v>1820</v>
      </c>
      <c r="B10" s="39">
        <v>-4.8</v>
      </c>
      <c r="C10" s="22">
        <v>95</v>
      </c>
      <c r="D10" s="25">
        <f t="shared" ref="D10:D50" si="0">(C10/$C$50)*100</f>
        <v>73.076923076923066</v>
      </c>
      <c r="E10" s="17">
        <f t="shared" ref="E10:E50" si="1">B10/(D10/100)</f>
        <v>-6.5684210526315798</v>
      </c>
      <c r="F10" s="40">
        <f t="shared" ref="F10:F50" si="2">E10/1000</f>
        <v>-6.5684210526315802E-3</v>
      </c>
    </row>
    <row r="11" spans="1:6" ht="17.5" customHeight="1">
      <c r="A11" s="38">
        <v>1821</v>
      </c>
      <c r="B11" s="39">
        <v>-4.8</v>
      </c>
      <c r="C11" s="22">
        <v>95</v>
      </c>
      <c r="D11" s="25">
        <f t="shared" si="0"/>
        <v>73.076923076923066</v>
      </c>
      <c r="E11" s="17">
        <f t="shared" si="1"/>
        <v>-6.5684210526315798</v>
      </c>
      <c r="F11" s="40">
        <f t="shared" si="2"/>
        <v>-6.5684210526315802E-3</v>
      </c>
    </row>
    <row r="12" spans="1:6" ht="17.5" customHeight="1">
      <c r="A12" s="38">
        <v>1822</v>
      </c>
      <c r="B12" s="39">
        <v>-4.5</v>
      </c>
      <c r="C12" s="22">
        <v>102</v>
      </c>
      <c r="D12" s="25">
        <f t="shared" si="0"/>
        <v>78.461538461538467</v>
      </c>
      <c r="E12" s="17">
        <f t="shared" si="1"/>
        <v>-5.735294117647058</v>
      </c>
      <c r="F12" s="40">
        <f t="shared" si="2"/>
        <v>-5.7352941176470581E-3</v>
      </c>
    </row>
    <row r="13" spans="1:6" ht="17.5" customHeight="1">
      <c r="A13" s="38">
        <v>1823</v>
      </c>
      <c r="B13" s="39">
        <v>-5</v>
      </c>
      <c r="C13" s="22">
        <v>90</v>
      </c>
      <c r="D13" s="25">
        <f t="shared" si="0"/>
        <v>69.230769230769226</v>
      </c>
      <c r="E13" s="17">
        <f t="shared" si="1"/>
        <v>-7.2222222222222223</v>
      </c>
      <c r="F13" s="40">
        <f t="shared" si="2"/>
        <v>-7.2222222222222219E-3</v>
      </c>
    </row>
    <row r="14" spans="1:6" ht="17.5" customHeight="1">
      <c r="A14" s="38">
        <v>1824</v>
      </c>
      <c r="B14" s="39">
        <v>-4.8</v>
      </c>
      <c r="C14" s="22">
        <v>105</v>
      </c>
      <c r="D14" s="25">
        <f t="shared" si="0"/>
        <v>80.769230769230774</v>
      </c>
      <c r="E14" s="17">
        <f t="shared" si="1"/>
        <v>-5.9428571428571422</v>
      </c>
      <c r="F14" s="40">
        <f t="shared" si="2"/>
        <v>-5.9428571428571421E-3</v>
      </c>
    </row>
    <row r="15" spans="1:6" ht="17.5" customHeight="1">
      <c r="A15" s="38">
        <v>1825</v>
      </c>
      <c r="B15" s="39">
        <v>-4.8</v>
      </c>
      <c r="C15" s="22">
        <v>120</v>
      </c>
      <c r="D15" s="25">
        <f t="shared" si="0"/>
        <v>92.307692307692307</v>
      </c>
      <c r="E15" s="17">
        <f t="shared" si="1"/>
        <v>-5.2</v>
      </c>
      <c r="F15" s="40">
        <f t="shared" si="2"/>
        <v>-5.1999999999999998E-3</v>
      </c>
    </row>
    <row r="16" spans="1:6" ht="17.5" customHeight="1">
      <c r="A16" s="38">
        <v>1826</v>
      </c>
      <c r="B16" s="39">
        <v>-4.5</v>
      </c>
      <c r="C16" s="22">
        <v>94</v>
      </c>
      <c r="D16" s="25">
        <f t="shared" si="0"/>
        <v>72.307692307692307</v>
      </c>
      <c r="E16" s="17">
        <f t="shared" si="1"/>
        <v>-6.2234042553191493</v>
      </c>
      <c r="F16" s="40">
        <f t="shared" si="2"/>
        <v>-6.2234042553191496E-3</v>
      </c>
    </row>
    <row r="17" spans="1:6" ht="17.5" customHeight="1">
      <c r="A17" s="38">
        <v>1827</v>
      </c>
      <c r="B17" s="39">
        <v>-4.5999999999999996</v>
      </c>
      <c r="C17" s="22">
        <v>92</v>
      </c>
      <c r="D17" s="25">
        <f t="shared" si="0"/>
        <v>70.769230769230774</v>
      </c>
      <c r="E17" s="17">
        <f t="shared" si="1"/>
        <v>-6.4999999999999991</v>
      </c>
      <c r="F17" s="40">
        <f t="shared" si="2"/>
        <v>-6.4999999999999988E-3</v>
      </c>
    </row>
    <row r="18" spans="1:6" ht="17.5" customHeight="1">
      <c r="A18" s="38">
        <v>1828</v>
      </c>
      <c r="B18" s="39">
        <v>-4</v>
      </c>
      <c r="C18" s="22">
        <v>91</v>
      </c>
      <c r="D18" s="25">
        <f t="shared" si="0"/>
        <v>70</v>
      </c>
      <c r="E18" s="17">
        <f t="shared" si="1"/>
        <v>-5.7142857142857144</v>
      </c>
      <c r="F18" s="40">
        <f t="shared" si="2"/>
        <v>-5.7142857142857143E-3</v>
      </c>
    </row>
    <row r="19" spans="1:6" ht="17.5" customHeight="1">
      <c r="A19" s="38">
        <v>1829</v>
      </c>
      <c r="B19" s="39">
        <v>-4.5999999999999996</v>
      </c>
      <c r="C19" s="22">
        <v>101</v>
      </c>
      <c r="D19" s="25">
        <f t="shared" si="0"/>
        <v>77.692307692307693</v>
      </c>
      <c r="E19" s="17">
        <f t="shared" si="1"/>
        <v>-5.9207920792079198</v>
      </c>
      <c r="F19" s="40">
        <f t="shared" si="2"/>
        <v>-5.92079207920792E-3</v>
      </c>
    </row>
    <row r="20" spans="1:6" ht="17.5" customHeight="1">
      <c r="A20" s="38">
        <v>1830</v>
      </c>
      <c r="B20" s="39">
        <v>-4.5999999999999996</v>
      </c>
      <c r="C20" s="22">
        <v>100</v>
      </c>
      <c r="D20" s="25">
        <f t="shared" si="0"/>
        <v>76.923076923076934</v>
      </c>
      <c r="E20" s="17">
        <f t="shared" si="1"/>
        <v>-5.9799999999999986</v>
      </c>
      <c r="F20" s="40">
        <f t="shared" si="2"/>
        <v>-5.9799999999999983E-3</v>
      </c>
    </row>
    <row r="21" spans="1:6" ht="17.5" customHeight="1">
      <c r="A21" s="38">
        <v>1831</v>
      </c>
      <c r="B21" s="39">
        <v>-4.0999999999999996</v>
      </c>
      <c r="C21" s="22">
        <v>103</v>
      </c>
      <c r="D21" s="25">
        <f t="shared" si="0"/>
        <v>79.230769230769226</v>
      </c>
      <c r="E21" s="17">
        <f t="shared" si="1"/>
        <v>-5.174757281553398</v>
      </c>
      <c r="F21" s="40">
        <f t="shared" si="2"/>
        <v>-5.1747572815533981E-3</v>
      </c>
    </row>
    <row r="22" spans="1:6" ht="17.5" customHeight="1">
      <c r="A22" s="38">
        <v>1832</v>
      </c>
      <c r="B22" s="39">
        <v>-4.9000000000000004</v>
      </c>
      <c r="C22" s="22">
        <v>112</v>
      </c>
      <c r="D22" s="25">
        <f t="shared" si="0"/>
        <v>86.15384615384616</v>
      </c>
      <c r="E22" s="17">
        <f t="shared" si="1"/>
        <v>-5.6875</v>
      </c>
      <c r="F22" s="40">
        <f t="shared" si="2"/>
        <v>-5.6874999999999998E-3</v>
      </c>
    </row>
    <row r="23" spans="1:6" ht="17.5" customHeight="1">
      <c r="A23" s="38">
        <v>1833</v>
      </c>
      <c r="B23" s="39">
        <v>-5.3</v>
      </c>
      <c r="C23" s="22">
        <v>115</v>
      </c>
      <c r="D23" s="25">
        <f t="shared" si="0"/>
        <v>88.461538461538453</v>
      </c>
      <c r="E23" s="17">
        <f t="shared" si="1"/>
        <v>-5.9913043478260866</v>
      </c>
      <c r="F23" s="40">
        <f t="shared" si="2"/>
        <v>-5.9913043478260868E-3</v>
      </c>
    </row>
    <row r="24" spans="1:6" ht="17.5" customHeight="1">
      <c r="A24" s="38">
        <v>1834</v>
      </c>
      <c r="B24" s="39">
        <v>-6</v>
      </c>
      <c r="C24" s="22">
        <v>123</v>
      </c>
      <c r="D24" s="25">
        <f t="shared" si="0"/>
        <v>94.615384615384613</v>
      </c>
      <c r="E24" s="17">
        <f t="shared" si="1"/>
        <v>-6.3414634146341466</v>
      </c>
      <c r="F24" s="40">
        <f t="shared" si="2"/>
        <v>-6.3414634146341468E-3</v>
      </c>
    </row>
    <row r="25" spans="1:6" ht="17.5" customHeight="1">
      <c r="A25" s="38">
        <v>1835</v>
      </c>
      <c r="B25" s="39">
        <v>-7</v>
      </c>
      <c r="C25" s="22">
        <v>148</v>
      </c>
      <c r="D25" s="25">
        <f t="shared" si="0"/>
        <v>113.84615384615384</v>
      </c>
      <c r="E25" s="17">
        <f t="shared" si="1"/>
        <v>-6.1486486486486491</v>
      </c>
      <c r="F25" s="40">
        <f t="shared" si="2"/>
        <v>-6.1486486486486492E-3</v>
      </c>
    </row>
    <row r="26" spans="1:6" ht="17.5" customHeight="1">
      <c r="A26" s="38">
        <v>1836</v>
      </c>
      <c r="B26" s="39">
        <v>-8.6999999999999993</v>
      </c>
      <c r="C26" s="22">
        <v>142</v>
      </c>
      <c r="D26" s="25">
        <f t="shared" si="0"/>
        <v>109.23076923076923</v>
      </c>
      <c r="E26" s="17">
        <f t="shared" si="1"/>
        <v>-7.964788732394366</v>
      </c>
      <c r="F26" s="40">
        <f t="shared" si="2"/>
        <v>-7.9647887323943661E-3</v>
      </c>
    </row>
    <row r="27" spans="1:6" ht="17.5" customHeight="1">
      <c r="A27" s="38">
        <v>1837</v>
      </c>
      <c r="B27" s="39">
        <v>-8.8000000000000007</v>
      </c>
      <c r="C27" s="22">
        <v>137</v>
      </c>
      <c r="D27" s="25">
        <f t="shared" si="0"/>
        <v>105.38461538461539</v>
      </c>
      <c r="E27" s="17">
        <f t="shared" si="1"/>
        <v>-8.3503649635036492</v>
      </c>
      <c r="F27" s="40">
        <f t="shared" si="2"/>
        <v>-8.3503649635036491E-3</v>
      </c>
    </row>
    <row r="28" spans="1:6" ht="17.5" customHeight="1">
      <c r="A28" s="38">
        <v>1838</v>
      </c>
      <c r="B28" s="39">
        <v>-9.6999999999999993</v>
      </c>
      <c r="C28" s="22">
        <v>128</v>
      </c>
      <c r="D28" s="25">
        <f t="shared" si="0"/>
        <v>98.461538461538467</v>
      </c>
      <c r="E28" s="17">
        <f t="shared" si="1"/>
        <v>-9.8515624999999982</v>
      </c>
      <c r="F28" s="40">
        <f t="shared" si="2"/>
        <v>-9.8515624999999975E-3</v>
      </c>
    </row>
    <row r="29" spans="1:6" ht="17.5" customHeight="1">
      <c r="A29" s="38">
        <v>1839</v>
      </c>
      <c r="B29" s="39">
        <v>-13.6</v>
      </c>
      <c r="C29" s="22">
        <v>160</v>
      </c>
      <c r="D29" s="25">
        <f t="shared" si="0"/>
        <v>123.07692307692308</v>
      </c>
      <c r="E29" s="17">
        <f t="shared" si="1"/>
        <v>-11.049999999999999</v>
      </c>
      <c r="F29" s="40">
        <f t="shared" si="2"/>
        <v>-1.1049999999999999E-2</v>
      </c>
    </row>
    <row r="30" spans="1:6" ht="17.5" customHeight="1">
      <c r="A30" s="38">
        <v>1840</v>
      </c>
      <c r="B30" s="39">
        <v>-11.9</v>
      </c>
      <c r="C30" s="22">
        <v>106</v>
      </c>
      <c r="D30" s="25">
        <f t="shared" si="0"/>
        <v>81.538461538461533</v>
      </c>
      <c r="E30" s="17">
        <f t="shared" si="1"/>
        <v>-14.59433962264151</v>
      </c>
      <c r="F30" s="40">
        <f t="shared" si="2"/>
        <v>-1.4594339622641509E-2</v>
      </c>
    </row>
    <row r="31" spans="1:6" ht="17.5" customHeight="1">
      <c r="A31" s="38">
        <v>1841</v>
      </c>
      <c r="B31" s="39">
        <v>-8</v>
      </c>
      <c r="C31" s="22">
        <v>121</v>
      </c>
      <c r="D31" s="25">
        <f t="shared" si="0"/>
        <v>93.07692307692308</v>
      </c>
      <c r="E31" s="17">
        <f t="shared" si="1"/>
        <v>-8.5950413223140494</v>
      </c>
      <c r="F31" s="40">
        <f t="shared" si="2"/>
        <v>-8.5950413223140499E-3</v>
      </c>
    </row>
    <row r="32" spans="1:6" ht="17.5" customHeight="1">
      <c r="A32" s="38">
        <v>1842</v>
      </c>
      <c r="B32" s="39">
        <v>-7.9</v>
      </c>
      <c r="C32" s="22">
        <v>113</v>
      </c>
      <c r="D32" s="25">
        <f t="shared" si="0"/>
        <v>86.92307692307692</v>
      </c>
      <c r="E32" s="17">
        <f t="shared" si="1"/>
        <v>-9.0884955752212395</v>
      </c>
      <c r="F32" s="40">
        <f t="shared" si="2"/>
        <v>-9.088495575221239E-3</v>
      </c>
    </row>
    <row r="33" spans="1:6" ht="17.5" customHeight="1">
      <c r="A33" s="38">
        <v>1843</v>
      </c>
      <c r="B33" s="39">
        <v>-7.3</v>
      </c>
      <c r="C33" s="22">
        <v>96</v>
      </c>
      <c r="D33" s="25">
        <f t="shared" si="0"/>
        <v>73.846153846153854</v>
      </c>
      <c r="E33" s="17">
        <f t="shared" si="1"/>
        <v>-9.8854166666666661</v>
      </c>
      <c r="F33" s="40">
        <f t="shared" si="2"/>
        <v>-9.8854166666666656E-3</v>
      </c>
    </row>
    <row r="34" spans="1:6" ht="17.5" customHeight="1">
      <c r="A34" s="38">
        <v>1844</v>
      </c>
      <c r="B34" s="39">
        <v>-6.6</v>
      </c>
      <c r="C34" s="22">
        <v>114</v>
      </c>
      <c r="D34" s="25">
        <f t="shared" si="0"/>
        <v>87.692307692307693</v>
      </c>
      <c r="E34" s="17">
        <f t="shared" si="1"/>
        <v>-7.5263157894736841</v>
      </c>
      <c r="F34" s="40">
        <f t="shared" si="2"/>
        <v>-7.5263157894736839E-3</v>
      </c>
    </row>
    <row r="35" spans="1:6" ht="17.5" customHeight="1">
      <c r="A35" s="38">
        <v>1845</v>
      </c>
      <c r="B35" s="39">
        <v>-8.6999999999999993</v>
      </c>
      <c r="C35" s="22">
        <v>97</v>
      </c>
      <c r="D35" s="25">
        <f t="shared" si="0"/>
        <v>74.615384615384613</v>
      </c>
      <c r="E35" s="17">
        <f t="shared" si="1"/>
        <v>-11.659793814432989</v>
      </c>
      <c r="F35" s="40">
        <f t="shared" si="2"/>
        <v>-1.165979381443299E-2</v>
      </c>
    </row>
    <row r="36" spans="1:6" ht="17.5" customHeight="1">
      <c r="A36" s="38">
        <v>1846</v>
      </c>
      <c r="B36" s="39">
        <v>-8.5</v>
      </c>
      <c r="C36" s="22">
        <v>114</v>
      </c>
      <c r="D36" s="25">
        <f t="shared" si="0"/>
        <v>87.692307692307693</v>
      </c>
      <c r="E36" s="17">
        <f t="shared" si="1"/>
        <v>-9.692982456140351</v>
      </c>
      <c r="F36" s="40">
        <f t="shared" si="2"/>
        <v>-9.6929824561403505E-3</v>
      </c>
    </row>
    <row r="37" spans="1:6" ht="17.5" customHeight="1">
      <c r="A37" s="38">
        <v>1847</v>
      </c>
      <c r="B37" s="39">
        <v>-8.5</v>
      </c>
      <c r="C37" s="22">
        <v>137</v>
      </c>
      <c r="D37" s="25">
        <f t="shared" si="0"/>
        <v>105.38461538461539</v>
      </c>
      <c r="E37" s="17">
        <f t="shared" si="1"/>
        <v>-8.0656934306569337</v>
      </c>
      <c r="F37" s="40">
        <f t="shared" si="2"/>
        <v>-8.0656934306569342E-3</v>
      </c>
    </row>
    <row r="38" spans="1:6" ht="17.5" customHeight="1">
      <c r="A38" s="38">
        <v>1848</v>
      </c>
      <c r="B38" s="39">
        <v>-11.6</v>
      </c>
      <c r="C38" s="22">
        <v>127</v>
      </c>
      <c r="D38" s="25">
        <f t="shared" si="0"/>
        <v>97.692307692307693</v>
      </c>
      <c r="E38" s="17">
        <f t="shared" si="1"/>
        <v>-11.874015748031496</v>
      </c>
      <c r="F38" s="40">
        <f t="shared" si="2"/>
        <v>-1.1874015748031496E-2</v>
      </c>
    </row>
    <row r="39" spans="1:6" ht="17.5" customHeight="1">
      <c r="A39" s="38">
        <v>1849</v>
      </c>
      <c r="B39" s="39">
        <v>-11.8</v>
      </c>
      <c r="C39" s="22">
        <v>117</v>
      </c>
      <c r="D39" s="25">
        <f t="shared" si="0"/>
        <v>90</v>
      </c>
      <c r="E39" s="17">
        <f t="shared" si="1"/>
        <v>-13.111111111111111</v>
      </c>
      <c r="F39" s="40">
        <f t="shared" si="2"/>
        <v>-1.3111111111111112E-2</v>
      </c>
    </row>
    <row r="40" spans="1:6" ht="17.5" customHeight="1">
      <c r="A40" s="38">
        <v>1850</v>
      </c>
      <c r="B40" s="39">
        <v>-11.6</v>
      </c>
      <c r="C40" s="22">
        <v>163</v>
      </c>
      <c r="D40" s="25">
        <f t="shared" si="0"/>
        <v>125.38461538461539</v>
      </c>
      <c r="E40" s="17">
        <f t="shared" si="1"/>
        <v>-9.2515337423312882</v>
      </c>
      <c r="F40" s="40">
        <f t="shared" si="2"/>
        <v>-9.2515337423312877E-3</v>
      </c>
    </row>
    <row r="41" spans="1:6" ht="17.5" customHeight="1">
      <c r="A41" s="38">
        <v>1851</v>
      </c>
      <c r="B41" s="39">
        <v>-13.3</v>
      </c>
      <c r="C41" s="22">
        <v>157</v>
      </c>
      <c r="D41" s="25">
        <f t="shared" si="0"/>
        <v>120.76923076923076</v>
      </c>
      <c r="E41" s="17">
        <f t="shared" si="1"/>
        <v>-11.012738853503185</v>
      </c>
      <c r="F41" s="40">
        <f t="shared" si="2"/>
        <v>-1.1012738853503186E-2</v>
      </c>
    </row>
    <row r="42" spans="1:6" ht="17.5" customHeight="1">
      <c r="A42" s="38">
        <v>1852</v>
      </c>
      <c r="B42" s="39">
        <v>-14.9</v>
      </c>
      <c r="C42" s="22">
        <v>128</v>
      </c>
      <c r="D42" s="25">
        <f t="shared" si="0"/>
        <v>98.461538461538467</v>
      </c>
      <c r="E42" s="17">
        <f t="shared" si="1"/>
        <v>-15.1328125</v>
      </c>
      <c r="F42" s="40">
        <f t="shared" si="2"/>
        <v>-1.51328125E-2</v>
      </c>
    </row>
    <row r="43" spans="1:6" ht="17.5" customHeight="1">
      <c r="A43" s="38">
        <v>1853</v>
      </c>
      <c r="B43" s="39">
        <v>-16</v>
      </c>
      <c r="C43" s="22">
        <v>112</v>
      </c>
      <c r="D43" s="25">
        <f t="shared" si="0"/>
        <v>86.15384615384616</v>
      </c>
      <c r="E43" s="17">
        <f t="shared" si="1"/>
        <v>-18.571428571428569</v>
      </c>
      <c r="F43" s="40">
        <f t="shared" si="2"/>
        <v>-1.8571428571428569E-2</v>
      </c>
    </row>
    <row r="44" spans="1:6" ht="17.5" customHeight="1">
      <c r="A44" s="38">
        <v>1854</v>
      </c>
      <c r="B44" s="39">
        <v>-19.600000000000001</v>
      </c>
      <c r="C44" s="22">
        <v>140</v>
      </c>
      <c r="D44" s="25">
        <f t="shared" si="0"/>
        <v>107.69230769230769</v>
      </c>
      <c r="E44" s="17">
        <f t="shared" si="1"/>
        <v>-18.200000000000003</v>
      </c>
      <c r="F44" s="40">
        <f t="shared" si="2"/>
        <v>-1.8200000000000004E-2</v>
      </c>
    </row>
    <row r="45" spans="1:6" ht="17.5" customHeight="1">
      <c r="A45" s="38">
        <v>1855</v>
      </c>
      <c r="B45" s="39">
        <v>-22.3</v>
      </c>
      <c r="C45" s="22">
        <v>141</v>
      </c>
      <c r="D45" s="25">
        <f t="shared" si="0"/>
        <v>108.46153846153845</v>
      </c>
      <c r="E45" s="17">
        <f t="shared" si="1"/>
        <v>-20.560283687943265</v>
      </c>
      <c r="F45" s="40">
        <f t="shared" si="2"/>
        <v>-2.0560283687943263E-2</v>
      </c>
    </row>
    <row r="46" spans="1:6" ht="17.5" customHeight="1">
      <c r="A46" s="38">
        <v>1856</v>
      </c>
      <c r="B46" s="39">
        <v>-23.2</v>
      </c>
      <c r="C46" s="22">
        <v>139</v>
      </c>
      <c r="D46" s="25">
        <f t="shared" si="0"/>
        <v>106.92307692307692</v>
      </c>
      <c r="E46" s="17">
        <f t="shared" si="1"/>
        <v>-21.697841726618705</v>
      </c>
      <c r="F46" s="40">
        <f t="shared" si="2"/>
        <v>-2.1697841726618705E-2</v>
      </c>
    </row>
    <row r="47" spans="1:6" ht="17.5" customHeight="1">
      <c r="A47" s="38">
        <v>1857</v>
      </c>
      <c r="B47" s="39">
        <v>-14.7</v>
      </c>
      <c r="C47" s="22">
        <v>148</v>
      </c>
      <c r="D47" s="25">
        <f t="shared" si="0"/>
        <v>113.84615384615384</v>
      </c>
      <c r="E47" s="17">
        <f t="shared" si="1"/>
        <v>-12.912162162162161</v>
      </c>
      <c r="F47" s="40">
        <f t="shared" si="2"/>
        <v>-1.2912162162162162E-2</v>
      </c>
    </row>
    <row r="48" spans="1:6" ht="17.5" customHeight="1">
      <c r="A48" s="38">
        <v>1858</v>
      </c>
      <c r="B48" s="39">
        <v>-15.3</v>
      </c>
      <c r="C48" s="22">
        <v>140</v>
      </c>
      <c r="D48" s="25">
        <f t="shared" si="0"/>
        <v>107.69230769230769</v>
      </c>
      <c r="E48" s="17">
        <f t="shared" si="1"/>
        <v>-14.207142857142859</v>
      </c>
      <c r="F48" s="40">
        <f t="shared" si="2"/>
        <v>-1.4207142857142859E-2</v>
      </c>
    </row>
    <row r="49" spans="1:6" ht="17.5" customHeight="1">
      <c r="A49" s="38">
        <v>1859</v>
      </c>
      <c r="B49" s="39">
        <v>-23.4</v>
      </c>
      <c r="C49" s="22">
        <v>140</v>
      </c>
      <c r="D49" s="25">
        <f t="shared" si="0"/>
        <v>107.69230769230769</v>
      </c>
      <c r="E49" s="17">
        <f t="shared" si="1"/>
        <v>-21.728571428571428</v>
      </c>
      <c r="F49" s="40">
        <f t="shared" si="2"/>
        <v>-2.1728571428571427E-2</v>
      </c>
    </row>
    <row r="50" spans="1:6" ht="17.5" customHeight="1">
      <c r="A50" s="38">
        <v>1860</v>
      </c>
      <c r="B50" s="39">
        <v>-25.1</v>
      </c>
      <c r="C50" s="22">
        <v>130</v>
      </c>
      <c r="D50" s="25">
        <f t="shared" si="0"/>
        <v>100</v>
      </c>
      <c r="E50" s="17">
        <f t="shared" si="1"/>
        <v>-25.1</v>
      </c>
      <c r="F50" s="40">
        <f t="shared" si="2"/>
        <v>-2.5100000000000001E-2</v>
      </c>
    </row>
  </sheetData>
  <pageMargins left="0.75" right="0.75" top="1" bottom="1" header="0.5" footer="0.5"/>
  <pageSetup orientation="portrait"/>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5"/>
  <sheetViews>
    <sheetView showGridLines="0" workbookViewId="0"/>
  </sheetViews>
  <sheetFormatPr baseColWidth="10" defaultColWidth="9.1640625" defaultRowHeight="16" customHeight="1"/>
  <cols>
    <col min="1" max="1" width="8.33203125" style="4" customWidth="1"/>
    <col min="2" max="2" width="15.6640625" style="4" customWidth="1"/>
    <col min="3" max="4" width="9.1640625" style="4" customWidth="1"/>
    <col min="5" max="5" width="12.83203125" style="4" customWidth="1"/>
    <col min="6" max="6" width="13.5" style="4" customWidth="1"/>
    <col min="7" max="7" width="14.5" style="4" customWidth="1"/>
    <col min="8" max="8" width="9.1640625" style="4" customWidth="1"/>
    <col min="9" max="16384" width="9.1640625" style="4"/>
  </cols>
  <sheetData>
    <row r="1" spans="1:7" ht="17.5" customHeight="1">
      <c r="A1" s="8" t="s">
        <v>160</v>
      </c>
      <c r="B1" s="6"/>
      <c r="C1" s="6"/>
      <c r="D1" s="6"/>
      <c r="E1" s="6"/>
      <c r="F1" s="6"/>
      <c r="G1" s="6"/>
    </row>
    <row r="2" spans="1:7" ht="17.5" customHeight="1">
      <c r="A2" s="8" t="s">
        <v>161</v>
      </c>
      <c r="B2" s="15"/>
      <c r="C2" s="6"/>
      <c r="D2" s="6"/>
      <c r="E2" s="6"/>
      <c r="F2" s="6"/>
      <c r="G2" s="6"/>
    </row>
    <row r="3" spans="1:7" ht="17.5" customHeight="1">
      <c r="A3" s="19" t="s">
        <v>162</v>
      </c>
      <c r="B3" s="36"/>
      <c r="C3" s="6"/>
      <c r="D3" s="6"/>
      <c r="E3" s="6"/>
      <c r="F3" s="6"/>
      <c r="G3" s="6"/>
    </row>
    <row r="4" spans="1:7" ht="17.5" customHeight="1">
      <c r="A4" s="37"/>
      <c r="B4" s="36"/>
      <c r="C4" s="6"/>
      <c r="D4" s="6"/>
      <c r="E4" s="6"/>
      <c r="F4" s="6"/>
      <c r="G4" s="6"/>
    </row>
    <row r="5" spans="1:7" ht="15.75" customHeight="1">
      <c r="A5" s="41"/>
      <c r="B5" s="41"/>
      <c r="C5" s="229" t="s">
        <v>163</v>
      </c>
      <c r="D5" s="230"/>
      <c r="E5" s="230"/>
      <c r="F5" s="6"/>
      <c r="G5" s="6"/>
    </row>
    <row r="6" spans="1:7" ht="51" customHeight="1">
      <c r="A6" s="6"/>
      <c r="B6" s="12" t="s">
        <v>154</v>
      </c>
      <c r="C6" s="8" t="s">
        <v>164</v>
      </c>
      <c r="D6" s="8" t="s">
        <v>165</v>
      </c>
      <c r="E6" s="8" t="s">
        <v>166</v>
      </c>
      <c r="F6" s="12" t="s">
        <v>157</v>
      </c>
      <c r="G6" s="12" t="s">
        <v>158</v>
      </c>
    </row>
    <row r="7" spans="1:7" ht="17.5" customHeight="1">
      <c r="A7" s="42">
        <v>1861</v>
      </c>
      <c r="B7" s="39">
        <v>-23.5</v>
      </c>
      <c r="C7" s="22">
        <v>99.3</v>
      </c>
      <c r="D7" s="22">
        <v>96</v>
      </c>
      <c r="E7" s="25">
        <f t="shared" ref="E7:E45" si="0">(C7/D7)*100</f>
        <v>103.4375</v>
      </c>
      <c r="F7" s="17">
        <f t="shared" ref="F7:F45" si="1">B7/(E7/100)</f>
        <v>-22.719033232628398</v>
      </c>
      <c r="G7" s="40">
        <f t="shared" ref="G7:G45" si="2">F7/1000</f>
        <v>-2.2719033232628399E-2</v>
      </c>
    </row>
    <row r="8" spans="1:7" ht="17.5" customHeight="1">
      <c r="A8" s="42">
        <v>1862</v>
      </c>
      <c r="B8" s="39">
        <v>-30</v>
      </c>
      <c r="C8" s="22">
        <v>102.2</v>
      </c>
      <c r="D8" s="22">
        <v>94.8</v>
      </c>
      <c r="E8" s="25">
        <f t="shared" si="0"/>
        <v>107.80590717299579</v>
      </c>
      <c r="F8" s="17">
        <f t="shared" si="1"/>
        <v>-27.827788649706456</v>
      </c>
      <c r="G8" s="40">
        <f t="shared" si="2"/>
        <v>-2.7827788649706454E-2</v>
      </c>
    </row>
    <row r="9" spans="1:7" ht="17.5" customHeight="1">
      <c r="A9" s="42">
        <v>1863</v>
      </c>
      <c r="B9" s="39">
        <v>-30.9</v>
      </c>
      <c r="C9" s="22">
        <v>85.8</v>
      </c>
      <c r="D9" s="22">
        <v>96.2</v>
      </c>
      <c r="E9" s="25">
        <f t="shared" si="0"/>
        <v>89.189189189189193</v>
      </c>
      <c r="F9" s="17">
        <f t="shared" si="1"/>
        <v>-34.645454545454541</v>
      </c>
      <c r="G9" s="40">
        <f t="shared" si="2"/>
        <v>-3.4645454545454542E-2</v>
      </c>
    </row>
    <row r="10" spans="1:7" ht="17.5" customHeight="1">
      <c r="A10" s="42">
        <v>1864</v>
      </c>
      <c r="B10" s="39">
        <v>-34.200000000000003</v>
      </c>
      <c r="C10" s="22">
        <v>87.6</v>
      </c>
      <c r="D10" s="22">
        <v>109.1</v>
      </c>
      <c r="E10" s="25">
        <f t="shared" si="0"/>
        <v>80.293308890925758</v>
      </c>
      <c r="F10" s="17">
        <f t="shared" si="1"/>
        <v>-42.593835616438355</v>
      </c>
      <c r="G10" s="40">
        <f t="shared" si="2"/>
        <v>-4.2593835616438355E-2</v>
      </c>
    </row>
    <row r="11" spans="1:7" ht="17.5" customHeight="1">
      <c r="A11" s="42">
        <v>1865</v>
      </c>
      <c r="B11" s="39">
        <v>-44.8</v>
      </c>
      <c r="C11" s="22">
        <v>91</v>
      </c>
      <c r="D11" s="22">
        <v>113.5</v>
      </c>
      <c r="E11" s="25">
        <f t="shared" si="0"/>
        <v>80.1762114537445</v>
      </c>
      <c r="F11" s="17">
        <f t="shared" si="1"/>
        <v>-55.87692307692307</v>
      </c>
      <c r="G11" s="40">
        <f t="shared" si="2"/>
        <v>-5.5876923076923067E-2</v>
      </c>
    </row>
    <row r="12" spans="1:7" ht="17.5" customHeight="1">
      <c r="A12" s="42">
        <v>1866</v>
      </c>
      <c r="B12" s="39">
        <v>-51.3</v>
      </c>
      <c r="C12" s="22">
        <v>106.1</v>
      </c>
      <c r="D12" s="22">
        <v>138.80000000000001</v>
      </c>
      <c r="E12" s="25">
        <f t="shared" si="0"/>
        <v>76.440922190201718</v>
      </c>
      <c r="F12" s="17">
        <f t="shared" si="1"/>
        <v>-67.110650329877473</v>
      </c>
      <c r="G12" s="40">
        <f t="shared" si="2"/>
        <v>-6.7110650329877466E-2</v>
      </c>
    </row>
    <row r="13" spans="1:7" ht="17.5" customHeight="1">
      <c r="A13" s="42">
        <v>1867</v>
      </c>
      <c r="B13" s="39">
        <v>-57.7</v>
      </c>
      <c r="C13" s="22">
        <v>122.8</v>
      </c>
      <c r="D13" s="22">
        <v>119.2</v>
      </c>
      <c r="E13" s="25">
        <f t="shared" si="0"/>
        <v>103.02013422818791</v>
      </c>
      <c r="F13" s="17">
        <f t="shared" si="1"/>
        <v>-56.008469055374597</v>
      </c>
      <c r="G13" s="40">
        <f t="shared" si="2"/>
        <v>-5.6008469055374599E-2</v>
      </c>
    </row>
    <row r="14" spans="1:7" ht="17.5" customHeight="1">
      <c r="A14" s="42">
        <v>1868</v>
      </c>
      <c r="B14" s="39">
        <v>-66.8</v>
      </c>
      <c r="C14" s="22">
        <v>117.9</v>
      </c>
      <c r="D14" s="22">
        <v>114.3</v>
      </c>
      <c r="E14" s="25">
        <f t="shared" si="0"/>
        <v>103.14960629921262</v>
      </c>
      <c r="F14" s="17">
        <f t="shared" si="1"/>
        <v>-64.760305343511433</v>
      </c>
      <c r="G14" s="40">
        <f t="shared" si="2"/>
        <v>-6.4760305343511432E-2</v>
      </c>
    </row>
    <row r="15" spans="1:7" ht="17.5" customHeight="1">
      <c r="A15" s="42">
        <v>1869</v>
      </c>
      <c r="B15" s="17">
        <v>-69.099999999999994</v>
      </c>
      <c r="C15" s="22">
        <v>120.6</v>
      </c>
      <c r="D15" s="22">
        <v>116</v>
      </c>
      <c r="E15" s="25">
        <f t="shared" si="0"/>
        <v>103.9655172413793</v>
      </c>
      <c r="F15" s="17">
        <f t="shared" si="1"/>
        <v>-66.464344941956881</v>
      </c>
      <c r="G15" s="40">
        <f t="shared" si="2"/>
        <v>-6.6464344941956882E-2</v>
      </c>
    </row>
    <row r="16" spans="1:7" ht="17.5" customHeight="1">
      <c r="A16" s="42">
        <v>1870</v>
      </c>
      <c r="B16" s="17">
        <v>-79.8</v>
      </c>
      <c r="C16" s="22">
        <v>121.6</v>
      </c>
      <c r="D16" s="22">
        <v>125</v>
      </c>
      <c r="E16" s="25">
        <f t="shared" si="0"/>
        <v>97.28</v>
      </c>
      <c r="F16" s="17">
        <f t="shared" si="1"/>
        <v>-82.03125</v>
      </c>
      <c r="G16" s="40">
        <f t="shared" si="2"/>
        <v>-8.203125E-2</v>
      </c>
    </row>
    <row r="17" spans="1:7" ht="17.5" customHeight="1">
      <c r="A17" s="42">
        <v>1871</v>
      </c>
      <c r="B17" s="17">
        <v>-84.1</v>
      </c>
      <c r="C17" s="22">
        <v>123.2</v>
      </c>
      <c r="D17" s="22">
        <v>128.9</v>
      </c>
      <c r="E17" s="25">
        <f t="shared" si="0"/>
        <v>95.577967416602021</v>
      </c>
      <c r="F17" s="17">
        <f t="shared" si="1"/>
        <v>-87.990990259740258</v>
      </c>
      <c r="G17" s="40">
        <f t="shared" si="2"/>
        <v>-8.7990990259740262E-2</v>
      </c>
    </row>
    <row r="18" spans="1:7" ht="17.5" customHeight="1">
      <c r="A18" s="42">
        <v>1872</v>
      </c>
      <c r="B18" s="17">
        <v>-86.8</v>
      </c>
      <c r="C18" s="22">
        <v>121.5</v>
      </c>
      <c r="D18" s="22">
        <v>120.4</v>
      </c>
      <c r="E18" s="25">
        <f t="shared" si="0"/>
        <v>100.91362126245846</v>
      </c>
      <c r="F18" s="17">
        <f t="shared" si="1"/>
        <v>-86.014156378600831</v>
      </c>
      <c r="G18" s="40">
        <f t="shared" si="2"/>
        <v>-8.6014156378600826E-2</v>
      </c>
    </row>
    <row r="19" spans="1:7" ht="17.5" customHeight="1">
      <c r="A19" s="42">
        <v>1873</v>
      </c>
      <c r="B19" s="17">
        <v>-99.2</v>
      </c>
      <c r="C19" s="22">
        <v>117.7</v>
      </c>
      <c r="D19" s="22">
        <v>118.8</v>
      </c>
      <c r="E19" s="25">
        <f t="shared" si="0"/>
        <v>99.074074074074076</v>
      </c>
      <c r="F19" s="17">
        <f t="shared" si="1"/>
        <v>-100.12710280373831</v>
      </c>
      <c r="G19" s="40">
        <f t="shared" si="2"/>
        <v>-0.10012710280373831</v>
      </c>
    </row>
    <row r="20" spans="1:7" ht="17.5" customHeight="1">
      <c r="A20" s="42">
        <v>1874</v>
      </c>
      <c r="B20" s="17">
        <v>-101.6</v>
      </c>
      <c r="C20" s="22">
        <v>119.9</v>
      </c>
      <c r="D20" s="22">
        <v>113</v>
      </c>
      <c r="E20" s="25">
        <f t="shared" si="0"/>
        <v>106.1061946902655</v>
      </c>
      <c r="F20" s="17">
        <f t="shared" si="1"/>
        <v>-95.753127606338595</v>
      </c>
      <c r="G20" s="40">
        <f t="shared" si="2"/>
        <v>-9.5753127606338598E-2</v>
      </c>
    </row>
    <row r="21" spans="1:7" ht="17.5" customHeight="1">
      <c r="A21" s="42">
        <v>1875</v>
      </c>
      <c r="B21" s="17">
        <v>-98.8</v>
      </c>
      <c r="C21" s="22">
        <v>125.5</v>
      </c>
      <c r="D21" s="22">
        <v>110.5</v>
      </c>
      <c r="E21" s="25">
        <f t="shared" si="0"/>
        <v>113.57466063348416</v>
      </c>
      <c r="F21" s="17">
        <f t="shared" si="1"/>
        <v>-86.991235059760953</v>
      </c>
      <c r="G21" s="40">
        <f t="shared" si="2"/>
        <v>-8.6991235059760946E-2</v>
      </c>
    </row>
    <row r="22" spans="1:7" ht="17.5" customHeight="1">
      <c r="A22" s="42">
        <v>1876</v>
      </c>
      <c r="B22" s="17">
        <v>-95.6</v>
      </c>
      <c r="C22" s="22">
        <v>114.4</v>
      </c>
      <c r="D22" s="22">
        <v>98.9</v>
      </c>
      <c r="E22" s="25">
        <f t="shared" si="0"/>
        <v>115.67239635995956</v>
      </c>
      <c r="F22" s="17">
        <f t="shared" si="1"/>
        <v>-82.647202797202794</v>
      </c>
      <c r="G22" s="40">
        <f t="shared" si="2"/>
        <v>-8.2647202797202793E-2</v>
      </c>
    </row>
    <row r="23" spans="1:7" ht="17.5" customHeight="1">
      <c r="A23" s="42">
        <v>1877</v>
      </c>
      <c r="B23" s="17">
        <v>-85.9</v>
      </c>
      <c r="C23" s="22">
        <v>110.4</v>
      </c>
      <c r="D23" s="22">
        <v>108.8</v>
      </c>
      <c r="E23" s="25">
        <f t="shared" si="0"/>
        <v>101.47058823529413</v>
      </c>
      <c r="F23" s="17">
        <f t="shared" si="1"/>
        <v>-84.655072463768107</v>
      </c>
      <c r="G23" s="40">
        <f t="shared" si="2"/>
        <v>-8.4655072463768105E-2</v>
      </c>
    </row>
    <row r="24" spans="1:7" ht="17.5" customHeight="1">
      <c r="A24" s="42">
        <v>1878</v>
      </c>
      <c r="B24" s="17">
        <v>-75.8</v>
      </c>
      <c r="C24" s="22">
        <v>106.9</v>
      </c>
      <c r="D24" s="22">
        <v>110</v>
      </c>
      <c r="E24" s="25">
        <f t="shared" si="0"/>
        <v>97.181818181818187</v>
      </c>
      <c r="F24" s="17">
        <f t="shared" si="1"/>
        <v>-77.998129092609901</v>
      </c>
      <c r="G24" s="40">
        <f t="shared" si="2"/>
        <v>-7.7998129092609905E-2</v>
      </c>
    </row>
    <row r="25" spans="1:7" ht="17.5" customHeight="1">
      <c r="A25" s="42">
        <v>1879</v>
      </c>
      <c r="B25" s="17">
        <v>-78</v>
      </c>
      <c r="C25" s="22">
        <v>112.5</v>
      </c>
      <c r="D25" s="22">
        <v>107.5</v>
      </c>
      <c r="E25" s="25">
        <f t="shared" si="0"/>
        <v>104.65116279069768</v>
      </c>
      <c r="F25" s="17">
        <f t="shared" si="1"/>
        <v>-74.533333333333331</v>
      </c>
      <c r="G25" s="40">
        <f t="shared" si="2"/>
        <v>-7.4533333333333326E-2</v>
      </c>
    </row>
    <row r="26" spans="1:7" ht="17.5" customHeight="1">
      <c r="A26" s="42">
        <v>1880</v>
      </c>
      <c r="B26" s="17">
        <v>-78.7</v>
      </c>
      <c r="C26" s="22">
        <v>128.69999999999999</v>
      </c>
      <c r="D26" s="22">
        <v>118.3</v>
      </c>
      <c r="E26" s="25">
        <f t="shared" si="0"/>
        <v>108.79120879120879</v>
      </c>
      <c r="F26" s="17">
        <f t="shared" si="1"/>
        <v>-72.340404040404053</v>
      </c>
      <c r="G26" s="40">
        <f t="shared" si="2"/>
        <v>-7.2340404040404052E-2</v>
      </c>
    </row>
    <row r="27" spans="1:7" ht="17.5" customHeight="1">
      <c r="A27" s="42">
        <v>1881</v>
      </c>
      <c r="B27" s="17">
        <v>-88.2</v>
      </c>
      <c r="C27" s="22">
        <v>128.80000000000001</v>
      </c>
      <c r="D27" s="22">
        <v>109.4</v>
      </c>
      <c r="E27" s="25">
        <f t="shared" si="0"/>
        <v>117.73308957952469</v>
      </c>
      <c r="F27" s="17">
        <f t="shared" si="1"/>
        <v>-74.915217391304353</v>
      </c>
      <c r="G27" s="40">
        <f t="shared" si="2"/>
        <v>-7.4915217391304356E-2</v>
      </c>
    </row>
    <row r="28" spans="1:7" ht="17.5" customHeight="1">
      <c r="A28" s="42">
        <v>1882</v>
      </c>
      <c r="B28" s="17">
        <v>-84.4</v>
      </c>
      <c r="C28" s="22">
        <v>135</v>
      </c>
      <c r="D28" s="22">
        <v>106.3</v>
      </c>
      <c r="E28" s="25">
        <f t="shared" si="0"/>
        <v>126.99905926622765</v>
      </c>
      <c r="F28" s="17">
        <f t="shared" si="1"/>
        <v>-66.457185185185196</v>
      </c>
      <c r="G28" s="40">
        <f t="shared" si="2"/>
        <v>-6.6457185185185202E-2</v>
      </c>
    </row>
    <row r="29" spans="1:7" ht="17.5" customHeight="1">
      <c r="A29" s="42">
        <v>1883</v>
      </c>
      <c r="B29" s="17">
        <v>-88.6</v>
      </c>
      <c r="C29" s="22">
        <v>119.8</v>
      </c>
      <c r="D29" s="22">
        <v>100.3</v>
      </c>
      <c r="E29" s="25">
        <f t="shared" si="0"/>
        <v>119.44167497507479</v>
      </c>
      <c r="F29" s="17">
        <f t="shared" si="1"/>
        <v>-74.178464106844729</v>
      </c>
      <c r="G29" s="40">
        <f t="shared" si="2"/>
        <v>-7.4178464106844727E-2</v>
      </c>
    </row>
    <row r="30" spans="1:7" ht="17.5" customHeight="1">
      <c r="A30" s="42">
        <v>1884</v>
      </c>
      <c r="B30" s="17">
        <v>-89.6</v>
      </c>
      <c r="C30" s="22">
        <v>118.9</v>
      </c>
      <c r="D30" s="22">
        <v>90.8</v>
      </c>
      <c r="E30" s="25">
        <f t="shared" si="0"/>
        <v>130.94713656387665</v>
      </c>
      <c r="F30" s="17">
        <f t="shared" si="1"/>
        <v>-68.424558452481065</v>
      </c>
      <c r="G30" s="40">
        <f t="shared" si="2"/>
        <v>-6.8424558452481063E-2</v>
      </c>
    </row>
    <row r="31" spans="1:7" ht="17.5" customHeight="1">
      <c r="A31" s="42">
        <v>1885</v>
      </c>
      <c r="B31" s="17">
        <v>-85.9</v>
      </c>
      <c r="C31" s="22">
        <v>111.3</v>
      </c>
      <c r="D31" s="22">
        <v>82.4</v>
      </c>
      <c r="E31" s="25">
        <f t="shared" si="0"/>
        <v>135.07281553398056</v>
      </c>
      <c r="F31" s="17">
        <f t="shared" si="1"/>
        <v>-63.595327942497768</v>
      </c>
      <c r="G31" s="40">
        <f t="shared" si="2"/>
        <v>-6.3595327942497767E-2</v>
      </c>
    </row>
    <row r="32" spans="1:7" ht="17.5" customHeight="1">
      <c r="A32" s="42">
        <v>1886</v>
      </c>
      <c r="B32" s="17">
        <v>-93.1</v>
      </c>
      <c r="C32" s="22">
        <v>101.5</v>
      </c>
      <c r="D32" s="22">
        <v>83.1</v>
      </c>
      <c r="E32" s="25">
        <f t="shared" si="0"/>
        <v>122.14199759326114</v>
      </c>
      <c r="F32" s="17">
        <f t="shared" si="1"/>
        <v>-76.222758620689646</v>
      </c>
      <c r="G32" s="40">
        <f t="shared" si="2"/>
        <v>-7.622275862068964E-2</v>
      </c>
    </row>
    <row r="33" spans="1:7" ht="17.5" customHeight="1">
      <c r="A33" s="42">
        <v>1887</v>
      </c>
      <c r="B33" s="17">
        <v>-97.9</v>
      </c>
      <c r="C33" s="22">
        <v>105.8</v>
      </c>
      <c r="D33" s="22">
        <v>94.6</v>
      </c>
      <c r="E33" s="25">
        <f t="shared" si="0"/>
        <v>111.83932346723044</v>
      </c>
      <c r="F33" s="17">
        <f t="shared" si="1"/>
        <v>-87.536294896030256</v>
      </c>
      <c r="G33" s="40">
        <f t="shared" si="2"/>
        <v>-8.7536294896030251E-2</v>
      </c>
    </row>
    <row r="34" spans="1:7" ht="17.5" customHeight="1">
      <c r="A34" s="42">
        <v>1888</v>
      </c>
      <c r="B34" s="17">
        <v>-106.9</v>
      </c>
      <c r="C34" s="22">
        <v>112.5</v>
      </c>
      <c r="D34" s="22">
        <v>92.9</v>
      </c>
      <c r="E34" s="25">
        <f t="shared" si="0"/>
        <v>121.09795479009686</v>
      </c>
      <c r="F34" s="17">
        <f t="shared" si="1"/>
        <v>-88.275644444444467</v>
      </c>
      <c r="G34" s="40">
        <f t="shared" si="2"/>
        <v>-8.8275644444444468E-2</v>
      </c>
    </row>
    <row r="35" spans="1:7" ht="17.5" customHeight="1">
      <c r="A35" s="42">
        <v>1889</v>
      </c>
      <c r="B35" s="17">
        <v>-118.1</v>
      </c>
      <c r="C35" s="22">
        <v>107.7</v>
      </c>
      <c r="D35" s="22">
        <v>100.1</v>
      </c>
      <c r="E35" s="25">
        <f t="shared" si="0"/>
        <v>107.5924075924076</v>
      </c>
      <c r="F35" s="17">
        <f t="shared" si="1"/>
        <v>-109.76610956360258</v>
      </c>
      <c r="G35" s="40">
        <f t="shared" si="2"/>
        <v>-0.10976610956360258</v>
      </c>
    </row>
    <row r="36" spans="1:7" ht="17.5" customHeight="1">
      <c r="A36" s="42">
        <v>1890</v>
      </c>
      <c r="B36" s="17">
        <v>-124.8</v>
      </c>
      <c r="C36" s="22">
        <v>112.5</v>
      </c>
      <c r="D36" s="22">
        <v>101.8</v>
      </c>
      <c r="E36" s="25">
        <f t="shared" si="0"/>
        <v>110.51080550098231</v>
      </c>
      <c r="F36" s="17">
        <f t="shared" si="1"/>
        <v>-112.93013333333333</v>
      </c>
      <c r="G36" s="40">
        <f t="shared" si="2"/>
        <v>-0.11293013333333334</v>
      </c>
    </row>
    <row r="37" spans="1:7" ht="17.5" customHeight="1">
      <c r="A37" s="42">
        <v>1891</v>
      </c>
      <c r="B37" s="17">
        <v>-133.69999999999999</v>
      </c>
      <c r="C37" s="22">
        <v>94.2</v>
      </c>
      <c r="D37" s="22">
        <v>97.9</v>
      </c>
      <c r="E37" s="25">
        <f t="shared" si="0"/>
        <v>96.220633299284984</v>
      </c>
      <c r="F37" s="17">
        <f t="shared" si="1"/>
        <v>-138.95148619957536</v>
      </c>
      <c r="G37" s="40">
        <f t="shared" si="2"/>
        <v>-0.13895148619957537</v>
      </c>
    </row>
    <row r="38" spans="1:7" ht="17.5" customHeight="1">
      <c r="A38" s="42">
        <v>1892</v>
      </c>
      <c r="B38" s="17">
        <v>-142.9</v>
      </c>
      <c r="C38" s="22">
        <v>92.9</v>
      </c>
      <c r="D38" s="22">
        <v>93.3</v>
      </c>
      <c r="E38" s="25">
        <f t="shared" si="0"/>
        <v>99.571275455519839</v>
      </c>
      <c r="F38" s="17">
        <f t="shared" si="1"/>
        <v>-143.51528525296015</v>
      </c>
      <c r="G38" s="40">
        <f t="shared" si="2"/>
        <v>-0.14351528525296015</v>
      </c>
    </row>
    <row r="39" spans="1:7" ht="17.5" customHeight="1">
      <c r="A39" s="42">
        <v>1893</v>
      </c>
      <c r="B39" s="17">
        <v>-138.69999999999999</v>
      </c>
      <c r="C39" s="22">
        <v>95.5</v>
      </c>
      <c r="D39" s="22">
        <v>97.8</v>
      </c>
      <c r="E39" s="25">
        <f t="shared" si="0"/>
        <v>97.648261758691206</v>
      </c>
      <c r="F39" s="17">
        <f t="shared" si="1"/>
        <v>-142.04041884816755</v>
      </c>
      <c r="G39" s="40">
        <f t="shared" si="2"/>
        <v>-0.14204041884816754</v>
      </c>
    </row>
    <row r="40" spans="1:7" ht="17.5" customHeight="1">
      <c r="A40" s="42">
        <v>1894</v>
      </c>
      <c r="B40" s="17">
        <v>-113</v>
      </c>
      <c r="C40" s="22">
        <v>83.1</v>
      </c>
      <c r="D40" s="22">
        <v>83.8</v>
      </c>
      <c r="E40" s="25">
        <f t="shared" si="0"/>
        <v>99.164677804295948</v>
      </c>
      <c r="F40" s="17">
        <f t="shared" si="1"/>
        <v>-113.95186522262334</v>
      </c>
      <c r="G40" s="40">
        <f t="shared" si="2"/>
        <v>-0.11395186522262334</v>
      </c>
    </row>
    <row r="41" spans="1:7" ht="17.5" customHeight="1">
      <c r="A41" s="42">
        <v>1895</v>
      </c>
      <c r="B41" s="17">
        <v>-126.4</v>
      </c>
      <c r="C41" s="22">
        <v>80.3</v>
      </c>
      <c r="D41" s="22">
        <v>73.400000000000006</v>
      </c>
      <c r="E41" s="25">
        <f t="shared" si="0"/>
        <v>109.40054495912806</v>
      </c>
      <c r="F41" s="17">
        <f t="shared" si="1"/>
        <v>-115.53872976338731</v>
      </c>
      <c r="G41" s="40">
        <f t="shared" si="2"/>
        <v>-0.1155387297633873</v>
      </c>
    </row>
    <row r="42" spans="1:7" ht="17.5" customHeight="1">
      <c r="A42" s="42">
        <v>1896</v>
      </c>
      <c r="B42" s="17">
        <v>-122</v>
      </c>
      <c r="C42" s="22">
        <v>85.2</v>
      </c>
      <c r="D42" s="22">
        <v>76.5</v>
      </c>
      <c r="E42" s="25">
        <f t="shared" si="0"/>
        <v>111.37254901960785</v>
      </c>
      <c r="F42" s="17">
        <f t="shared" si="1"/>
        <v>-109.54225352112675</v>
      </c>
      <c r="G42" s="40">
        <f t="shared" si="2"/>
        <v>-0.10954225352112676</v>
      </c>
    </row>
    <row r="43" spans="1:7" ht="17.5" customHeight="1">
      <c r="A43" s="42">
        <v>1897</v>
      </c>
      <c r="B43" s="17">
        <v>-126.8</v>
      </c>
      <c r="C43" s="22">
        <v>80.3</v>
      </c>
      <c r="D43" s="22">
        <v>72.599999999999994</v>
      </c>
      <c r="E43" s="25">
        <f t="shared" si="0"/>
        <v>110.60606060606062</v>
      </c>
      <c r="F43" s="17">
        <f t="shared" si="1"/>
        <v>-114.64109589041094</v>
      </c>
      <c r="G43" s="40">
        <f t="shared" si="2"/>
        <v>-0.11464109589041094</v>
      </c>
    </row>
    <row r="44" spans="1:7" ht="17.5" customHeight="1">
      <c r="A44" s="42">
        <v>1898</v>
      </c>
      <c r="B44" s="17">
        <v>-132.6</v>
      </c>
      <c r="C44" s="22">
        <v>79.3</v>
      </c>
      <c r="D44" s="22">
        <v>68.599999999999994</v>
      </c>
      <c r="E44" s="25">
        <f t="shared" si="0"/>
        <v>115.59766763848398</v>
      </c>
      <c r="F44" s="17">
        <f t="shared" si="1"/>
        <v>-114.70819672131145</v>
      </c>
      <c r="G44" s="40">
        <f t="shared" si="2"/>
        <v>-0.11470819672131145</v>
      </c>
    </row>
    <row r="45" spans="1:7" ht="17.5" customHeight="1">
      <c r="A45" s="42">
        <v>1899</v>
      </c>
      <c r="B45" s="17">
        <v>-124.4</v>
      </c>
      <c r="C45" s="22">
        <v>84.6</v>
      </c>
      <c r="D45" s="22">
        <v>74.8</v>
      </c>
      <c r="E45" s="25">
        <f t="shared" si="0"/>
        <v>113.10160427807486</v>
      </c>
      <c r="F45" s="17">
        <f t="shared" si="1"/>
        <v>-109.98959810874706</v>
      </c>
      <c r="G45" s="40">
        <f t="shared" si="2"/>
        <v>-0.10998959810874706</v>
      </c>
    </row>
  </sheetData>
  <mergeCells count="1">
    <mergeCell ref="C5:E5"/>
  </mergeCells>
  <pageMargins left="0.75" right="0.75" top="1" bottom="1" header="0.5" footer="0.5"/>
  <pageSetup orientation="portrait"/>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5"/>
  <sheetViews>
    <sheetView showGridLines="0" workbookViewId="0"/>
  </sheetViews>
  <sheetFormatPr baseColWidth="10" defaultColWidth="9.1640625" defaultRowHeight="16" customHeight="1"/>
  <cols>
    <col min="1" max="1" width="9.1640625" style="4" customWidth="1"/>
    <col min="2" max="2" width="23.5" style="4" customWidth="1"/>
    <col min="3" max="3" width="21.6640625" style="4" customWidth="1"/>
    <col min="4" max="4" width="21" style="4" customWidth="1"/>
    <col min="5" max="5" width="16.83203125" style="4" customWidth="1"/>
    <col min="6" max="6" width="9.1640625" style="4" customWidth="1"/>
    <col min="7" max="16384" width="9.1640625" style="4"/>
  </cols>
  <sheetData>
    <row r="1" spans="1:5" ht="17.5" customHeight="1">
      <c r="A1" s="8" t="s">
        <v>168</v>
      </c>
      <c r="B1" s="6"/>
      <c r="C1" s="6"/>
      <c r="D1" s="6"/>
      <c r="E1" s="6"/>
    </row>
    <row r="2" spans="1:5" ht="17.5" customHeight="1">
      <c r="A2" s="8" t="s">
        <v>169</v>
      </c>
      <c r="B2" s="6"/>
      <c r="C2" s="6"/>
      <c r="D2" s="6"/>
      <c r="E2" s="6"/>
    </row>
    <row r="3" spans="1:5" ht="17.5" customHeight="1">
      <c r="A3" s="8" t="s">
        <v>170</v>
      </c>
      <c r="B3" s="6"/>
      <c r="C3" s="6"/>
      <c r="D3" s="6"/>
      <c r="E3" s="6"/>
    </row>
    <row r="4" spans="1:5" ht="17.5" customHeight="1">
      <c r="A4" s="6"/>
      <c r="B4" s="20"/>
      <c r="C4" s="6"/>
      <c r="D4" s="6"/>
      <c r="E4" s="6"/>
    </row>
    <row r="5" spans="1:5" ht="68" customHeight="1">
      <c r="A5" s="6"/>
      <c r="B5" s="12" t="s">
        <v>171</v>
      </c>
      <c r="C5" s="12" t="s">
        <v>172</v>
      </c>
      <c r="D5" s="12" t="s">
        <v>173</v>
      </c>
      <c r="E5" s="12" t="s">
        <v>174</v>
      </c>
    </row>
    <row r="6" spans="1:5" ht="17.5" customHeight="1">
      <c r="A6" s="22">
        <v>1900</v>
      </c>
      <c r="B6" s="22">
        <v>38</v>
      </c>
      <c r="C6" s="22">
        <v>137</v>
      </c>
      <c r="D6" s="22">
        <f t="shared" ref="D6:D15" si="0">B6-C6</f>
        <v>-99</v>
      </c>
      <c r="E6" s="23">
        <f t="shared" ref="E6:E15" si="1">D6/1000</f>
        <v>-9.9000000000000005E-2</v>
      </c>
    </row>
    <row r="7" spans="1:5" ht="17.5" customHeight="1">
      <c r="A7" s="22">
        <v>1901</v>
      </c>
      <c r="B7" s="22">
        <v>47</v>
      </c>
      <c r="C7" s="22">
        <v>135</v>
      </c>
      <c r="D7" s="22">
        <f t="shared" si="0"/>
        <v>-88</v>
      </c>
      <c r="E7" s="23">
        <f t="shared" si="1"/>
        <v>-8.7999999999999995E-2</v>
      </c>
    </row>
    <row r="8" spans="1:5" ht="17.5" customHeight="1">
      <c r="A8" s="22">
        <v>1902</v>
      </c>
      <c r="B8" s="22">
        <v>57</v>
      </c>
      <c r="C8" s="22">
        <v>137</v>
      </c>
      <c r="D8" s="22">
        <f t="shared" si="0"/>
        <v>-80</v>
      </c>
      <c r="E8" s="23">
        <f t="shared" si="1"/>
        <v>-0.08</v>
      </c>
    </row>
    <row r="9" spans="1:5" ht="17.5" customHeight="1">
      <c r="A9" s="22">
        <v>1903</v>
      </c>
      <c r="B9" s="22">
        <v>67</v>
      </c>
      <c r="C9" s="22">
        <v>139</v>
      </c>
      <c r="D9" s="22">
        <f t="shared" si="0"/>
        <v>-72</v>
      </c>
      <c r="E9" s="23">
        <f t="shared" si="1"/>
        <v>-7.1999999999999995E-2</v>
      </c>
    </row>
    <row r="10" spans="1:5" ht="17.5" customHeight="1">
      <c r="A10" s="22">
        <v>1904</v>
      </c>
      <c r="B10" s="22">
        <v>70</v>
      </c>
      <c r="C10" s="22">
        <v>141</v>
      </c>
      <c r="D10" s="22">
        <f t="shared" si="0"/>
        <v>-71</v>
      </c>
      <c r="E10" s="23">
        <f t="shared" si="1"/>
        <v>-7.0999999999999994E-2</v>
      </c>
    </row>
    <row r="11" spans="1:5" ht="17.5" customHeight="1">
      <c r="A11" s="22">
        <v>1905</v>
      </c>
      <c r="B11" s="22">
        <v>76</v>
      </c>
      <c r="C11" s="22">
        <v>145</v>
      </c>
      <c r="D11" s="22">
        <f t="shared" si="0"/>
        <v>-69</v>
      </c>
      <c r="E11" s="23">
        <f t="shared" si="1"/>
        <v>-6.9000000000000006E-2</v>
      </c>
    </row>
    <row r="12" spans="1:5" ht="17.5" customHeight="1">
      <c r="A12" s="22">
        <v>1906</v>
      </c>
      <c r="B12" s="22">
        <v>86</v>
      </c>
      <c r="C12" s="22">
        <v>148</v>
      </c>
      <c r="D12" s="22">
        <f t="shared" si="0"/>
        <v>-62</v>
      </c>
      <c r="E12" s="23">
        <f t="shared" si="1"/>
        <v>-6.2E-2</v>
      </c>
    </row>
    <row r="13" spans="1:5" ht="17.5" customHeight="1">
      <c r="A13" s="22">
        <v>1907</v>
      </c>
      <c r="B13" s="22">
        <v>87</v>
      </c>
      <c r="C13" s="22">
        <v>153</v>
      </c>
      <c r="D13" s="22">
        <f t="shared" si="0"/>
        <v>-66</v>
      </c>
      <c r="E13" s="23">
        <f t="shared" si="1"/>
        <v>-6.6000000000000003E-2</v>
      </c>
    </row>
    <row r="14" spans="1:5" ht="17.5" customHeight="1">
      <c r="A14" s="22">
        <v>1908</v>
      </c>
      <c r="B14" s="22">
        <v>89</v>
      </c>
      <c r="C14" s="22">
        <v>160</v>
      </c>
      <c r="D14" s="22">
        <f t="shared" si="0"/>
        <v>-71</v>
      </c>
      <c r="E14" s="23">
        <f t="shared" si="1"/>
        <v>-7.0999999999999994E-2</v>
      </c>
    </row>
    <row r="15" spans="1:5" ht="17.5" customHeight="1">
      <c r="A15" s="22">
        <v>1909</v>
      </c>
      <c r="B15" s="22">
        <v>100</v>
      </c>
      <c r="C15" s="22">
        <v>164</v>
      </c>
      <c r="D15" s="22">
        <f t="shared" si="0"/>
        <v>-64</v>
      </c>
      <c r="E15" s="23">
        <f t="shared" si="1"/>
        <v>-6.4000000000000001E-2</v>
      </c>
    </row>
  </sheetData>
  <pageMargins left="0.75" right="0.75" top="1" bottom="1" header="0.5" footer="0.5"/>
  <pageSetup orientation="portrait"/>
  <headerFooter>
    <oddFooter>&amp;C&amp;"Helvetica Neue,Regular"&amp;12&amp;K000000&amp;P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212"/>
  <sheetViews>
    <sheetView showGridLines="0" topLeftCell="A94" workbookViewId="0">
      <selection activeCell="B115" sqref="B6:B115"/>
    </sheetView>
  </sheetViews>
  <sheetFormatPr baseColWidth="10" defaultColWidth="6.83203125" defaultRowHeight="16" customHeight="1"/>
  <cols>
    <col min="1" max="1" width="81.33203125" style="4" customWidth="1"/>
    <col min="2" max="2" width="19.6640625" style="4" customWidth="1"/>
    <col min="3" max="3" width="17.6640625" style="4" customWidth="1"/>
    <col min="4" max="4" width="17.33203125" style="4" customWidth="1"/>
    <col min="5" max="5" width="14.83203125" style="4" customWidth="1"/>
    <col min="6" max="6" width="16.83203125" style="4" customWidth="1"/>
    <col min="7" max="7" width="6.83203125" style="4" customWidth="1"/>
    <col min="8" max="8" width="6.83203125" style="4"/>
    <col min="9" max="9" width="3.1640625" style="4" customWidth="1"/>
    <col min="10" max="10" width="6.83203125" style="4" hidden="1" customWidth="1"/>
    <col min="11" max="16384" width="6.83203125" style="4"/>
  </cols>
  <sheetData>
    <row r="1" spans="1:6" ht="17.5" customHeight="1">
      <c r="A1" s="8" t="s">
        <v>176</v>
      </c>
      <c r="B1" s="34"/>
      <c r="C1" s="34"/>
      <c r="D1" s="34"/>
      <c r="E1" s="34"/>
      <c r="F1" s="34"/>
    </row>
    <row r="2" spans="1:6" ht="17.5" customHeight="1">
      <c r="A2" s="8" t="s">
        <v>177</v>
      </c>
      <c r="B2" s="34"/>
      <c r="C2" s="34"/>
      <c r="D2" s="34"/>
      <c r="E2" s="34"/>
      <c r="F2" s="34"/>
    </row>
    <row r="3" spans="1:6" ht="17.5" customHeight="1">
      <c r="A3" s="8" t="s">
        <v>178</v>
      </c>
      <c r="B3" s="34"/>
      <c r="C3" s="34"/>
      <c r="D3" s="34"/>
      <c r="E3" s="34"/>
      <c r="F3" s="34"/>
    </row>
    <row r="4" spans="1:6" ht="15.75" customHeight="1">
      <c r="A4" s="8" t="s">
        <v>179</v>
      </c>
      <c r="B4" s="6"/>
      <c r="C4" s="6"/>
      <c r="D4" s="34"/>
      <c r="E4" s="6"/>
      <c r="F4" s="6"/>
    </row>
    <row r="5" spans="1:6" ht="49.5" customHeight="1">
      <c r="A5" s="8" t="s">
        <v>95</v>
      </c>
      <c r="B5" s="8" t="s">
        <v>180</v>
      </c>
      <c r="C5" s="6"/>
      <c r="D5" s="6"/>
      <c r="E5" s="6"/>
      <c r="F5" s="6"/>
    </row>
    <row r="6" spans="1:6" ht="17.5" customHeight="1">
      <c r="A6" s="42">
        <v>1790</v>
      </c>
      <c r="B6" s="43">
        <v>3929</v>
      </c>
      <c r="C6" s="34"/>
      <c r="D6" s="34"/>
      <c r="E6" s="34"/>
      <c r="F6" s="34"/>
    </row>
    <row r="7" spans="1:6" ht="17.5" customHeight="1">
      <c r="A7" s="42">
        <v>1791</v>
      </c>
      <c r="B7" s="43">
        <v>4048</v>
      </c>
      <c r="C7" s="34"/>
      <c r="D7" s="34"/>
      <c r="E7" s="34"/>
      <c r="F7" s="34"/>
    </row>
    <row r="8" spans="1:6" ht="17.5" customHeight="1">
      <c r="A8" s="42">
        <v>1792</v>
      </c>
      <c r="B8" s="43">
        <v>4171</v>
      </c>
      <c r="C8" s="34"/>
      <c r="D8" s="34"/>
      <c r="E8" s="34"/>
      <c r="F8" s="34"/>
    </row>
    <row r="9" spans="1:6" ht="17.5" customHeight="1">
      <c r="A9" s="42">
        <v>1793</v>
      </c>
      <c r="B9" s="43">
        <v>4297</v>
      </c>
      <c r="C9" s="34"/>
      <c r="D9" s="34"/>
      <c r="E9" s="34"/>
      <c r="F9" s="34"/>
    </row>
    <row r="10" spans="1:6" ht="17.5" customHeight="1">
      <c r="A10" s="42">
        <v>1794</v>
      </c>
      <c r="B10" s="43">
        <v>4428</v>
      </c>
      <c r="C10" s="34"/>
      <c r="D10" s="34"/>
      <c r="E10" s="34"/>
      <c r="F10" s="34"/>
    </row>
    <row r="11" spans="1:6" ht="17.5" customHeight="1">
      <c r="A11" s="42">
        <v>1795</v>
      </c>
      <c r="B11" s="43">
        <v>4562</v>
      </c>
      <c r="C11" s="34"/>
      <c r="D11" s="34"/>
      <c r="E11" s="34"/>
      <c r="F11" s="34"/>
    </row>
    <row r="12" spans="1:6" ht="17.5" customHeight="1">
      <c r="A12" s="42">
        <v>1796</v>
      </c>
      <c r="B12" s="43">
        <v>4700</v>
      </c>
      <c r="C12" s="34"/>
      <c r="D12" s="34"/>
      <c r="E12" s="34"/>
      <c r="F12" s="34"/>
    </row>
    <row r="13" spans="1:6" ht="17.5" customHeight="1">
      <c r="A13" s="42">
        <v>1797</v>
      </c>
      <c r="B13" s="43">
        <v>4843</v>
      </c>
      <c r="C13" s="34"/>
      <c r="D13" s="34"/>
      <c r="E13" s="34"/>
      <c r="F13" s="34"/>
    </row>
    <row r="14" spans="1:6" ht="17.5" customHeight="1">
      <c r="A14" s="42">
        <v>1798</v>
      </c>
      <c r="B14" s="43">
        <v>4990</v>
      </c>
      <c r="C14" s="34"/>
      <c r="D14" s="34"/>
      <c r="E14" s="34"/>
      <c r="F14" s="34"/>
    </row>
    <row r="15" spans="1:6" ht="17.5" customHeight="1">
      <c r="A15" s="42">
        <v>1799</v>
      </c>
      <c r="B15" s="43">
        <v>5141</v>
      </c>
      <c r="C15" s="34"/>
      <c r="D15" s="34"/>
      <c r="E15" s="34"/>
      <c r="F15" s="34"/>
    </row>
    <row r="16" spans="1:6" ht="17.5" customHeight="1">
      <c r="A16" s="42">
        <v>1800</v>
      </c>
      <c r="B16" s="43">
        <v>5297</v>
      </c>
      <c r="C16" s="34"/>
      <c r="D16" s="34"/>
      <c r="E16" s="34"/>
      <c r="F16" s="34"/>
    </row>
    <row r="17" spans="1:6" ht="17.5" customHeight="1">
      <c r="A17" s="42">
        <v>1801</v>
      </c>
      <c r="B17" s="43">
        <v>5486</v>
      </c>
      <c r="C17" s="6"/>
      <c r="D17" s="6"/>
      <c r="E17" s="6"/>
      <c r="F17" s="6"/>
    </row>
    <row r="18" spans="1:6" ht="17.5" customHeight="1">
      <c r="A18" s="42">
        <v>1802</v>
      </c>
      <c r="B18" s="43">
        <v>5679</v>
      </c>
      <c r="C18" s="6"/>
      <c r="D18" s="6"/>
      <c r="E18" s="6"/>
      <c r="F18" s="6"/>
    </row>
    <row r="19" spans="1:6" ht="17.5" customHeight="1">
      <c r="A19" s="42">
        <v>1803</v>
      </c>
      <c r="B19" s="43">
        <v>5872</v>
      </c>
      <c r="C19" s="6"/>
      <c r="D19" s="6"/>
      <c r="E19" s="6"/>
      <c r="F19" s="6"/>
    </row>
    <row r="20" spans="1:6" ht="17.5" customHeight="1">
      <c r="A20" s="42">
        <v>1804</v>
      </c>
      <c r="B20" s="43">
        <v>6065</v>
      </c>
      <c r="C20" s="6"/>
      <c r="D20" s="6"/>
      <c r="E20" s="6"/>
      <c r="F20" s="6"/>
    </row>
    <row r="21" spans="1:6" ht="17.5" customHeight="1">
      <c r="A21" s="42">
        <v>1805</v>
      </c>
      <c r="B21" s="43">
        <v>6258</v>
      </c>
      <c r="C21" s="6"/>
      <c r="D21" s="6"/>
      <c r="E21" s="6"/>
      <c r="F21" s="6"/>
    </row>
    <row r="22" spans="1:6" ht="17.5" customHeight="1">
      <c r="A22" s="42">
        <v>1806</v>
      </c>
      <c r="B22" s="43">
        <v>6451</v>
      </c>
      <c r="C22" s="6"/>
      <c r="D22" s="6"/>
      <c r="E22" s="6"/>
      <c r="F22" s="6"/>
    </row>
    <row r="23" spans="1:6" ht="17.5" customHeight="1">
      <c r="A23" s="42">
        <v>1807</v>
      </c>
      <c r="B23" s="43">
        <v>6644</v>
      </c>
      <c r="C23" s="6"/>
      <c r="D23" s="6"/>
      <c r="E23" s="6"/>
      <c r="F23" s="6"/>
    </row>
    <row r="24" spans="1:6" ht="17.5" customHeight="1">
      <c r="A24" s="42">
        <v>1808</v>
      </c>
      <c r="B24" s="43">
        <v>6838</v>
      </c>
      <c r="C24" s="6"/>
      <c r="D24" s="6"/>
      <c r="E24" s="6"/>
      <c r="F24" s="6"/>
    </row>
    <row r="25" spans="1:6" ht="17.5" customHeight="1">
      <c r="A25" s="42">
        <v>1809</v>
      </c>
      <c r="B25" s="43">
        <v>7031</v>
      </c>
      <c r="C25" s="6"/>
      <c r="D25" s="6"/>
      <c r="E25" s="6"/>
      <c r="F25" s="6"/>
    </row>
    <row r="26" spans="1:6" ht="17.5" customHeight="1">
      <c r="A26" s="42">
        <v>1810</v>
      </c>
      <c r="B26" s="43">
        <v>7224</v>
      </c>
      <c r="C26" s="6"/>
      <c r="D26" s="6"/>
      <c r="E26" s="6"/>
      <c r="F26" s="6"/>
    </row>
    <row r="27" spans="1:6" ht="17.5" customHeight="1">
      <c r="A27" s="42">
        <v>1811</v>
      </c>
      <c r="B27" s="43">
        <v>7460</v>
      </c>
      <c r="C27" s="6"/>
      <c r="D27" s="6"/>
      <c r="E27" s="6"/>
      <c r="F27" s="6"/>
    </row>
    <row r="28" spans="1:6" ht="17.5" customHeight="1">
      <c r="A28" s="42">
        <v>1812</v>
      </c>
      <c r="B28" s="43">
        <v>7700</v>
      </c>
      <c r="C28" s="6"/>
      <c r="D28" s="6"/>
      <c r="E28" s="6"/>
      <c r="F28" s="6"/>
    </row>
    <row r="29" spans="1:6" ht="17.5" customHeight="1">
      <c r="A29" s="42">
        <v>1813</v>
      </c>
      <c r="B29" s="43">
        <v>7939</v>
      </c>
      <c r="C29" s="6"/>
      <c r="D29" s="6"/>
      <c r="E29" s="6"/>
      <c r="F29" s="6"/>
    </row>
    <row r="30" spans="1:6" ht="17.5" customHeight="1">
      <c r="A30" s="42">
        <v>1814</v>
      </c>
      <c r="B30" s="43">
        <v>8179</v>
      </c>
      <c r="C30" s="6"/>
      <c r="D30" s="6"/>
      <c r="E30" s="6"/>
      <c r="F30" s="6"/>
    </row>
    <row r="31" spans="1:6" ht="17.5" customHeight="1">
      <c r="A31" s="42">
        <v>1815</v>
      </c>
      <c r="B31" s="43">
        <v>8419</v>
      </c>
      <c r="C31" s="6"/>
      <c r="D31" s="6"/>
      <c r="E31" s="6"/>
      <c r="F31" s="6"/>
    </row>
    <row r="32" spans="1:6" ht="17.5" customHeight="1">
      <c r="A32" s="42">
        <v>1816</v>
      </c>
      <c r="B32" s="43">
        <v>8659</v>
      </c>
      <c r="C32" s="6"/>
      <c r="D32" s="6"/>
      <c r="E32" s="6"/>
      <c r="F32" s="6"/>
    </row>
    <row r="33" spans="1:6" ht="17.5" customHeight="1">
      <c r="A33" s="42">
        <v>1817</v>
      </c>
      <c r="B33" s="43">
        <v>8899</v>
      </c>
      <c r="C33" s="6"/>
      <c r="D33" s="6"/>
      <c r="E33" s="6"/>
      <c r="F33" s="6"/>
    </row>
    <row r="34" spans="1:6" ht="17.5" customHeight="1">
      <c r="A34" s="42">
        <v>1818</v>
      </c>
      <c r="B34" s="43">
        <v>9139</v>
      </c>
      <c r="C34" s="6"/>
      <c r="D34" s="6"/>
      <c r="E34" s="6"/>
      <c r="F34" s="6"/>
    </row>
    <row r="35" spans="1:6" ht="17.5" customHeight="1">
      <c r="A35" s="42">
        <v>1819</v>
      </c>
      <c r="B35" s="43">
        <v>9379</v>
      </c>
      <c r="C35" s="6"/>
      <c r="D35" s="6"/>
      <c r="E35" s="6"/>
      <c r="F35" s="6"/>
    </row>
    <row r="36" spans="1:6" ht="17.5" customHeight="1">
      <c r="A36" s="42">
        <v>1820</v>
      </c>
      <c r="B36" s="43">
        <v>9618</v>
      </c>
      <c r="C36" s="6"/>
      <c r="D36" s="6"/>
      <c r="E36" s="6"/>
      <c r="F36" s="6"/>
    </row>
    <row r="37" spans="1:6" ht="17.5" customHeight="1">
      <c r="A37" s="42">
        <v>1821</v>
      </c>
      <c r="B37" s="43">
        <v>9939</v>
      </c>
      <c r="C37" s="6"/>
      <c r="D37" s="6"/>
      <c r="E37" s="6"/>
      <c r="F37" s="6"/>
    </row>
    <row r="38" spans="1:6" ht="17.5" customHeight="1">
      <c r="A38" s="42">
        <v>1822</v>
      </c>
      <c r="B38" s="43">
        <v>10268</v>
      </c>
      <c r="C38" s="6"/>
      <c r="D38" s="6"/>
      <c r="E38" s="6"/>
      <c r="F38" s="6"/>
    </row>
    <row r="39" spans="1:6" ht="17.5" customHeight="1">
      <c r="A39" s="42">
        <v>1823</v>
      </c>
      <c r="B39" s="43">
        <v>10596</v>
      </c>
      <c r="C39" s="6"/>
      <c r="D39" s="6"/>
      <c r="E39" s="6"/>
      <c r="F39" s="6"/>
    </row>
    <row r="40" spans="1:6" ht="17.5" customHeight="1">
      <c r="A40" s="42">
        <v>1824</v>
      </c>
      <c r="B40" s="43">
        <v>10924</v>
      </c>
      <c r="C40" s="6"/>
      <c r="D40" s="6"/>
      <c r="E40" s="6"/>
      <c r="F40" s="6"/>
    </row>
    <row r="41" spans="1:6" ht="17.5" customHeight="1">
      <c r="A41" s="42">
        <v>1825</v>
      </c>
      <c r="B41" s="43">
        <v>11252</v>
      </c>
      <c r="C41" s="6"/>
      <c r="D41" s="6"/>
      <c r="E41" s="6"/>
      <c r="F41" s="6"/>
    </row>
    <row r="42" spans="1:6" ht="17.5" customHeight="1">
      <c r="A42" s="42">
        <v>1826</v>
      </c>
      <c r="B42" s="43">
        <v>11580</v>
      </c>
      <c r="C42" s="6"/>
      <c r="D42" s="6"/>
      <c r="E42" s="6"/>
      <c r="F42" s="6"/>
    </row>
    <row r="43" spans="1:6" ht="17.5" customHeight="1">
      <c r="A43" s="42">
        <v>1827</v>
      </c>
      <c r="B43" s="43">
        <v>11909</v>
      </c>
      <c r="C43" s="6"/>
      <c r="D43" s="6"/>
      <c r="E43" s="6"/>
      <c r="F43" s="6"/>
    </row>
    <row r="44" spans="1:6" ht="17.5" customHeight="1">
      <c r="A44" s="42">
        <v>1828</v>
      </c>
      <c r="B44" s="43">
        <v>12237</v>
      </c>
      <c r="C44" s="6"/>
      <c r="D44" s="6"/>
      <c r="E44" s="6"/>
      <c r="F44" s="6"/>
    </row>
    <row r="45" spans="1:6" ht="17.5" customHeight="1">
      <c r="A45" s="42">
        <v>1829</v>
      </c>
      <c r="B45" s="43">
        <v>12565</v>
      </c>
      <c r="C45" s="6"/>
      <c r="D45" s="6"/>
      <c r="E45" s="6"/>
      <c r="F45" s="6"/>
    </row>
    <row r="46" spans="1:6" ht="17.5" customHeight="1">
      <c r="A46" s="42">
        <v>1830</v>
      </c>
      <c r="B46" s="43">
        <v>12901</v>
      </c>
      <c r="C46" s="6"/>
      <c r="D46" s="6"/>
      <c r="E46" s="6"/>
      <c r="F46" s="6"/>
    </row>
    <row r="47" spans="1:6" ht="17.5" customHeight="1">
      <c r="A47" s="42">
        <v>1831</v>
      </c>
      <c r="B47" s="43">
        <v>13321</v>
      </c>
      <c r="C47" s="6"/>
      <c r="D47" s="6"/>
      <c r="E47" s="6"/>
      <c r="F47" s="6"/>
    </row>
    <row r="48" spans="1:6" ht="17.5" customHeight="1">
      <c r="A48" s="42">
        <v>1832</v>
      </c>
      <c r="B48" s="43">
        <v>13742</v>
      </c>
      <c r="C48" s="6"/>
      <c r="D48" s="6"/>
      <c r="E48" s="6"/>
      <c r="F48" s="6"/>
    </row>
    <row r="49" spans="1:6" ht="17.5" customHeight="1">
      <c r="A49" s="42">
        <v>1833</v>
      </c>
      <c r="B49" s="43">
        <v>14162</v>
      </c>
      <c r="C49" s="6"/>
      <c r="D49" s="6"/>
      <c r="E49" s="6"/>
      <c r="F49" s="6"/>
    </row>
    <row r="50" spans="1:6" ht="17.5" customHeight="1">
      <c r="A50" s="42">
        <v>1834</v>
      </c>
      <c r="B50" s="43">
        <v>14582</v>
      </c>
      <c r="C50" s="6"/>
      <c r="D50" s="6"/>
      <c r="E50" s="6"/>
      <c r="F50" s="6"/>
    </row>
    <row r="51" spans="1:6" ht="17.5" customHeight="1">
      <c r="A51" s="42">
        <v>1835</v>
      </c>
      <c r="B51" s="43">
        <v>15003</v>
      </c>
      <c r="C51" s="6"/>
      <c r="D51" s="6"/>
      <c r="E51" s="6"/>
      <c r="F51" s="6"/>
    </row>
    <row r="52" spans="1:6" ht="17.5" customHeight="1">
      <c r="A52" s="42">
        <v>1836</v>
      </c>
      <c r="B52" s="43">
        <v>15423</v>
      </c>
      <c r="C52" s="6"/>
      <c r="D52" s="6"/>
      <c r="E52" s="6"/>
      <c r="F52" s="6"/>
    </row>
    <row r="53" spans="1:6" ht="17.5" customHeight="1">
      <c r="A53" s="42">
        <v>1837</v>
      </c>
      <c r="B53" s="43">
        <v>15843</v>
      </c>
      <c r="C53" s="6"/>
      <c r="D53" s="6"/>
      <c r="E53" s="6"/>
      <c r="F53" s="6"/>
    </row>
    <row r="54" spans="1:6" ht="17.5" customHeight="1">
      <c r="A54" s="42">
        <v>1838</v>
      </c>
      <c r="B54" s="43">
        <v>16264</v>
      </c>
      <c r="C54" s="6"/>
      <c r="D54" s="6"/>
      <c r="E54" s="6"/>
      <c r="F54" s="6"/>
    </row>
    <row r="55" spans="1:6" ht="17.5" customHeight="1">
      <c r="A55" s="42">
        <v>1839</v>
      </c>
      <c r="B55" s="43">
        <v>16684</v>
      </c>
      <c r="C55" s="6"/>
      <c r="D55" s="6"/>
      <c r="E55" s="6"/>
      <c r="F55" s="6"/>
    </row>
    <row r="56" spans="1:6" ht="17.5" customHeight="1">
      <c r="A56" s="42">
        <v>1840</v>
      </c>
      <c r="B56" s="43">
        <v>17123</v>
      </c>
      <c r="C56" s="6"/>
      <c r="D56" s="6"/>
      <c r="E56" s="6"/>
      <c r="F56" s="6"/>
    </row>
    <row r="57" spans="1:6" ht="17.5" customHeight="1">
      <c r="A57" s="42">
        <v>1841</v>
      </c>
      <c r="B57" s="43">
        <v>17733</v>
      </c>
      <c r="C57" s="6"/>
      <c r="D57" s="6"/>
      <c r="E57" s="6"/>
      <c r="F57" s="6"/>
    </row>
    <row r="58" spans="1:6" ht="17.5" customHeight="1">
      <c r="A58" s="42">
        <v>1842</v>
      </c>
      <c r="B58" s="43">
        <v>18345</v>
      </c>
      <c r="C58" s="6"/>
      <c r="D58" s="6"/>
      <c r="E58" s="6"/>
      <c r="F58" s="6"/>
    </row>
    <row r="59" spans="1:6" ht="17.5" customHeight="1">
      <c r="A59" s="42">
        <v>1843</v>
      </c>
      <c r="B59" s="43">
        <v>18957</v>
      </c>
      <c r="C59" s="6"/>
      <c r="D59" s="6"/>
      <c r="E59" s="6"/>
      <c r="F59" s="6"/>
    </row>
    <row r="60" spans="1:6" ht="17.5" customHeight="1">
      <c r="A60" s="42">
        <v>1844</v>
      </c>
      <c r="B60" s="43">
        <v>19569</v>
      </c>
      <c r="C60" s="6"/>
      <c r="D60" s="6"/>
      <c r="E60" s="6"/>
      <c r="F60" s="6"/>
    </row>
    <row r="61" spans="1:6" ht="17.5" customHeight="1">
      <c r="A61" s="42">
        <v>1845</v>
      </c>
      <c r="B61" s="43">
        <v>20182</v>
      </c>
      <c r="C61" s="6"/>
      <c r="D61" s="6"/>
      <c r="E61" s="6"/>
      <c r="F61" s="6"/>
    </row>
    <row r="62" spans="1:6" ht="17.5" customHeight="1">
      <c r="A62" s="42">
        <v>1846</v>
      </c>
      <c r="B62" s="43">
        <v>20794</v>
      </c>
      <c r="C62" s="6"/>
      <c r="D62" s="6"/>
      <c r="E62" s="6"/>
      <c r="F62" s="6"/>
    </row>
    <row r="63" spans="1:6" ht="17.5" customHeight="1">
      <c r="A63" s="42">
        <v>1847</v>
      </c>
      <c r="B63" s="43">
        <v>21406</v>
      </c>
      <c r="C63" s="6"/>
      <c r="D63" s="6"/>
      <c r="E63" s="6"/>
      <c r="F63" s="6"/>
    </row>
    <row r="64" spans="1:6" ht="17.5" customHeight="1">
      <c r="A64" s="42">
        <v>1848</v>
      </c>
      <c r="B64" s="43">
        <v>22018</v>
      </c>
      <c r="C64" s="6"/>
      <c r="D64" s="6"/>
      <c r="E64" s="6"/>
      <c r="F64" s="6"/>
    </row>
    <row r="65" spans="1:6" ht="17.5" customHeight="1">
      <c r="A65" s="42">
        <v>1849</v>
      </c>
      <c r="B65" s="43">
        <v>22631</v>
      </c>
      <c r="C65" s="6"/>
      <c r="D65" s="6"/>
      <c r="E65" s="6"/>
      <c r="F65" s="6"/>
    </row>
    <row r="66" spans="1:6" ht="17.5" customHeight="1">
      <c r="A66" s="42">
        <v>1850</v>
      </c>
      <c r="B66" s="43">
        <v>23261</v>
      </c>
      <c r="C66" s="6"/>
      <c r="D66" s="6"/>
      <c r="E66" s="6"/>
      <c r="F66" s="6"/>
    </row>
    <row r="67" spans="1:6" ht="17.5" customHeight="1">
      <c r="A67" s="42">
        <v>1851</v>
      </c>
      <c r="B67" s="43">
        <v>24086</v>
      </c>
      <c r="C67" s="6"/>
      <c r="D67" s="6"/>
      <c r="E67" s="6"/>
      <c r="F67" s="6"/>
    </row>
    <row r="68" spans="1:6" ht="17.5" customHeight="1">
      <c r="A68" s="42">
        <v>1852</v>
      </c>
      <c r="B68" s="43">
        <v>24911</v>
      </c>
      <c r="C68" s="6"/>
      <c r="D68" s="6"/>
      <c r="E68" s="6"/>
      <c r="F68" s="6"/>
    </row>
    <row r="69" spans="1:6" ht="17.5" customHeight="1">
      <c r="A69" s="42">
        <v>1853</v>
      </c>
      <c r="B69" s="43">
        <v>25736</v>
      </c>
      <c r="C69" s="6"/>
      <c r="D69" s="6"/>
      <c r="E69" s="6"/>
      <c r="F69" s="6"/>
    </row>
    <row r="70" spans="1:6" ht="17.5" customHeight="1">
      <c r="A70" s="42">
        <v>1854</v>
      </c>
      <c r="B70" s="43">
        <v>26561</v>
      </c>
      <c r="C70" s="6"/>
      <c r="D70" s="6"/>
      <c r="E70" s="6"/>
      <c r="F70" s="6"/>
    </row>
    <row r="71" spans="1:6" ht="17.5" customHeight="1">
      <c r="A71" s="42">
        <v>1855</v>
      </c>
      <c r="B71" s="43">
        <v>27386</v>
      </c>
      <c r="C71" s="6"/>
      <c r="D71" s="6"/>
      <c r="E71" s="6"/>
      <c r="F71" s="6"/>
    </row>
    <row r="72" spans="1:6" ht="17.5" customHeight="1">
      <c r="A72" s="42">
        <v>1856</v>
      </c>
      <c r="B72" s="43">
        <v>28212</v>
      </c>
      <c r="C72" s="6"/>
      <c r="D72" s="6"/>
      <c r="E72" s="6"/>
      <c r="F72" s="6"/>
    </row>
    <row r="73" spans="1:6" ht="17.5" customHeight="1">
      <c r="A73" s="42">
        <v>1857</v>
      </c>
      <c r="B73" s="43">
        <v>29037</v>
      </c>
      <c r="C73" s="6"/>
      <c r="D73" s="6"/>
      <c r="E73" s="6"/>
      <c r="F73" s="6"/>
    </row>
    <row r="74" spans="1:6" ht="17.5" customHeight="1">
      <c r="A74" s="42">
        <v>1858</v>
      </c>
      <c r="B74" s="43">
        <v>29862</v>
      </c>
      <c r="C74" s="6"/>
      <c r="D74" s="6"/>
      <c r="E74" s="6"/>
      <c r="F74" s="6"/>
    </row>
    <row r="75" spans="1:6" ht="17.5" customHeight="1">
      <c r="A75" s="42">
        <v>1859</v>
      </c>
      <c r="B75" s="43">
        <v>30687</v>
      </c>
      <c r="C75" s="6"/>
      <c r="D75" s="6"/>
      <c r="E75" s="6"/>
      <c r="F75" s="6"/>
    </row>
    <row r="76" spans="1:6" ht="17.5" customHeight="1">
      <c r="A76" s="42">
        <v>1860</v>
      </c>
      <c r="B76" s="43">
        <v>31513</v>
      </c>
      <c r="C76" s="6"/>
      <c r="D76" s="6"/>
      <c r="E76" s="6"/>
      <c r="F76" s="6"/>
    </row>
    <row r="77" spans="1:6" ht="17.5" customHeight="1">
      <c r="A77" s="42" t="s">
        <v>601</v>
      </c>
      <c r="B77" s="43">
        <v>32215</v>
      </c>
      <c r="C77" s="6"/>
      <c r="D77" s="6"/>
      <c r="E77" s="6"/>
      <c r="F77" s="6"/>
    </row>
    <row r="78" spans="1:6" ht="17.5" customHeight="1">
      <c r="A78" s="42" t="s">
        <v>602</v>
      </c>
      <c r="B78" s="43">
        <v>32871.794124293789</v>
      </c>
      <c r="C78" s="6"/>
      <c r="D78" s="6"/>
      <c r="E78" s="6"/>
      <c r="F78" s="6"/>
    </row>
    <row r="79" spans="1:6" ht="17.5" customHeight="1">
      <c r="A79" s="42" t="s">
        <v>603</v>
      </c>
      <c r="B79" s="43">
        <v>33327.436953038872</v>
      </c>
      <c r="C79" s="6"/>
      <c r="D79" s="6"/>
      <c r="E79" s="6"/>
      <c r="F79" s="6"/>
    </row>
    <row r="80" spans="1:6" ht="17.5" customHeight="1">
      <c r="A80" s="42">
        <v>1864</v>
      </c>
      <c r="B80" s="43">
        <v>33768.002026129128</v>
      </c>
      <c r="C80" s="6"/>
      <c r="D80" s="6"/>
      <c r="E80" s="6"/>
      <c r="F80" s="6"/>
    </row>
    <row r="81" spans="1:6" ht="17.5" customHeight="1">
      <c r="A81" s="42" t="s">
        <v>604</v>
      </c>
      <c r="B81" s="43">
        <v>34151.972987349618</v>
      </c>
      <c r="C81" s="6"/>
      <c r="D81" s="6"/>
      <c r="E81" s="6"/>
      <c r="F81" s="6"/>
    </row>
    <row r="82" spans="1:6" ht="17.5" customHeight="1">
      <c r="A82" s="42" t="s">
        <v>605</v>
      </c>
      <c r="B82" s="43">
        <v>34788.937098430702</v>
      </c>
      <c r="C82" s="6"/>
      <c r="D82" s="6"/>
      <c r="E82" s="6"/>
      <c r="F82" s="6"/>
    </row>
    <row r="83" spans="1:6" ht="17.5" customHeight="1">
      <c r="A83" s="42" t="s">
        <v>606</v>
      </c>
      <c r="B83" s="43">
        <v>35595.757962634438</v>
      </c>
      <c r="C83" s="6"/>
      <c r="D83" s="6"/>
      <c r="E83" s="6"/>
      <c r="F83" s="6"/>
    </row>
    <row r="84" spans="1:6" ht="17.5" customHeight="1">
      <c r="A84" s="42" t="s">
        <v>607</v>
      </c>
      <c r="B84" s="43">
        <v>36499.322091666698</v>
      </c>
      <c r="C84" s="6"/>
      <c r="D84" s="6"/>
      <c r="E84" s="6"/>
      <c r="F84" s="6"/>
    </row>
    <row r="85" spans="1:6" ht="17.5" customHeight="1">
      <c r="A85" s="42" t="s">
        <v>608</v>
      </c>
      <c r="B85" s="34">
        <v>37478.604156182824</v>
      </c>
      <c r="C85" s="6"/>
      <c r="D85" s="6"/>
      <c r="E85" s="6"/>
      <c r="F85" s="6"/>
    </row>
    <row r="86" spans="1:6" ht="17.5" customHeight="1">
      <c r="A86" s="42" t="s">
        <v>609</v>
      </c>
      <c r="B86" s="34">
        <v>38558</v>
      </c>
      <c r="C86" s="6"/>
      <c r="D86" s="6"/>
      <c r="E86" s="6"/>
      <c r="F86" s="6"/>
    </row>
    <row r="87" spans="1:6" ht="17.5" customHeight="1">
      <c r="A87" s="42" t="s">
        <v>610</v>
      </c>
      <c r="B87" s="34">
        <v>39593.785475149176</v>
      </c>
      <c r="C87" s="6"/>
      <c r="D87" s="6"/>
      <c r="E87" s="6"/>
      <c r="F87" s="6"/>
    </row>
    <row r="88" spans="1:6" ht="17.5" customHeight="1">
      <c r="A88" s="42" t="s">
        <v>611</v>
      </c>
      <c r="B88" s="34">
        <v>40657.395307125211</v>
      </c>
      <c r="C88" s="6"/>
      <c r="D88" s="6"/>
      <c r="E88" s="6"/>
      <c r="F88" s="6"/>
    </row>
    <row r="89" spans="1:6" ht="17.5" customHeight="1">
      <c r="A89" s="42" t="s">
        <v>612</v>
      </c>
      <c r="B89" s="34">
        <v>41749.576943011889</v>
      </c>
      <c r="C89" s="6"/>
      <c r="D89" s="6"/>
      <c r="E89" s="6"/>
      <c r="F89" s="6"/>
    </row>
    <row r="90" spans="1:6" ht="17.5" customHeight="1">
      <c r="A90" s="42" t="s">
        <v>614</v>
      </c>
      <c r="B90" s="34">
        <v>42871.097908601252</v>
      </c>
      <c r="C90" s="6"/>
      <c r="D90" s="6"/>
      <c r="E90" s="6"/>
      <c r="F90" s="6"/>
    </row>
    <row r="91" spans="1:6" ht="17.5" customHeight="1">
      <c r="A91" s="42" t="s">
        <v>613</v>
      </c>
      <c r="B91" s="34">
        <v>44022.746347768931</v>
      </c>
      <c r="C91" s="6"/>
      <c r="D91" s="6"/>
      <c r="E91" s="6"/>
      <c r="F91" s="6"/>
    </row>
    <row r="92" spans="1:6" ht="17.5" customHeight="1">
      <c r="A92" s="42" t="s">
        <v>615</v>
      </c>
      <c r="B92" s="34">
        <v>45205.331576338758</v>
      </c>
      <c r="C92" s="6"/>
      <c r="D92" s="6"/>
      <c r="E92" s="6"/>
      <c r="F92" s="6"/>
    </row>
    <row r="93" spans="1:6" ht="17.5" customHeight="1">
      <c r="A93" s="42" t="s">
        <v>616</v>
      </c>
      <c r="B93" s="34">
        <v>46419.684650825868</v>
      </c>
      <c r="C93" s="6"/>
      <c r="D93" s="6"/>
      <c r="E93" s="6"/>
      <c r="F93" s="6"/>
    </row>
    <row r="94" spans="1:6" ht="17.5" customHeight="1">
      <c r="A94" s="42" t="s">
        <v>617</v>
      </c>
      <c r="B94" s="34">
        <v>47666.658952457969</v>
      </c>
      <c r="C94" s="6"/>
      <c r="D94" s="6"/>
      <c r="E94" s="6"/>
      <c r="F94" s="6"/>
    </row>
    <row r="95" spans="1:6" ht="17.5" customHeight="1">
      <c r="A95" s="42" t="s">
        <v>618</v>
      </c>
      <c r="B95" s="34">
        <v>48947.130786885202</v>
      </c>
      <c r="C95" s="6"/>
      <c r="D95" s="6"/>
      <c r="E95" s="6"/>
      <c r="F95" s="6"/>
    </row>
    <row r="96" spans="1:6" ht="17.5" customHeight="1">
      <c r="A96" s="42">
        <v>1880</v>
      </c>
      <c r="B96" s="34">
        <v>50262</v>
      </c>
      <c r="C96" s="6"/>
      <c r="D96" s="6"/>
      <c r="E96" s="6"/>
      <c r="F96" s="6"/>
    </row>
    <row r="97" spans="1:6" ht="17.5" customHeight="1">
      <c r="A97" s="42">
        <v>1881</v>
      </c>
      <c r="B97" s="34">
        <v>51542</v>
      </c>
      <c r="C97" s="6"/>
      <c r="D97" s="6"/>
      <c r="E97" s="6"/>
      <c r="F97" s="6"/>
    </row>
    <row r="98" spans="1:6" ht="17.5" customHeight="1">
      <c r="A98" s="42">
        <v>1882</v>
      </c>
      <c r="B98" s="34">
        <v>52821</v>
      </c>
      <c r="C98" s="6"/>
      <c r="D98" s="6"/>
      <c r="E98" s="6"/>
      <c r="F98" s="6"/>
    </row>
    <row r="99" spans="1:6" ht="17.5" customHeight="1">
      <c r="A99" s="42">
        <v>1883</v>
      </c>
      <c r="B99" s="34">
        <v>54100</v>
      </c>
      <c r="C99" s="6"/>
      <c r="D99" s="6"/>
      <c r="E99" s="6"/>
      <c r="F99" s="6"/>
    </row>
    <row r="100" spans="1:6" ht="17.5" customHeight="1">
      <c r="A100" s="42">
        <v>1884</v>
      </c>
      <c r="B100" s="34">
        <v>55379</v>
      </c>
      <c r="C100" s="6"/>
      <c r="D100" s="6"/>
      <c r="E100" s="6"/>
      <c r="F100" s="6"/>
    </row>
    <row r="101" spans="1:6" ht="17.5" customHeight="1">
      <c r="A101" s="42">
        <v>1885</v>
      </c>
      <c r="B101" s="34">
        <v>56658</v>
      </c>
      <c r="C101" s="6"/>
      <c r="D101" s="6"/>
      <c r="E101" s="6"/>
      <c r="F101" s="6"/>
    </row>
    <row r="102" spans="1:6" ht="17.5" customHeight="1">
      <c r="A102" s="42">
        <v>1886</v>
      </c>
      <c r="B102" s="34">
        <v>57938</v>
      </c>
      <c r="C102" s="6"/>
      <c r="D102" s="6"/>
      <c r="E102" s="6"/>
      <c r="F102" s="6"/>
    </row>
    <row r="103" spans="1:6" ht="17.5" customHeight="1">
      <c r="A103" s="42">
        <v>1887</v>
      </c>
      <c r="B103" s="34">
        <v>59217</v>
      </c>
      <c r="C103" s="6"/>
      <c r="D103" s="6"/>
      <c r="E103" s="6"/>
      <c r="F103" s="6"/>
    </row>
    <row r="104" spans="1:6" ht="17.5" customHeight="1">
      <c r="A104" s="42">
        <v>1888</v>
      </c>
      <c r="B104" s="34">
        <v>60496</v>
      </c>
      <c r="C104" s="6"/>
      <c r="D104" s="6"/>
      <c r="E104" s="6"/>
      <c r="F104" s="6"/>
    </row>
    <row r="105" spans="1:6" ht="17.5" customHeight="1">
      <c r="A105" s="42">
        <v>1889</v>
      </c>
      <c r="B105" s="34">
        <v>61775</v>
      </c>
      <c r="C105" s="6"/>
      <c r="D105" s="6"/>
      <c r="E105" s="6"/>
      <c r="F105" s="6"/>
    </row>
    <row r="106" spans="1:6" ht="17.5" customHeight="1">
      <c r="A106" s="42">
        <v>1890</v>
      </c>
      <c r="B106" s="34">
        <v>63056</v>
      </c>
      <c r="C106" s="6"/>
      <c r="D106" s="6"/>
      <c r="E106" s="6"/>
      <c r="F106" s="6"/>
    </row>
    <row r="107" spans="1:6" ht="17.5" customHeight="1">
      <c r="A107" s="42">
        <v>1891</v>
      </c>
      <c r="B107" s="34">
        <v>64361</v>
      </c>
      <c r="C107" s="6"/>
      <c r="D107" s="6"/>
      <c r="E107" s="6"/>
      <c r="F107" s="6"/>
    </row>
    <row r="108" spans="1:6" ht="17.5" customHeight="1">
      <c r="A108" s="42">
        <v>1892</v>
      </c>
      <c r="B108" s="34">
        <v>65666</v>
      </c>
      <c r="C108" s="6"/>
      <c r="D108" s="6"/>
      <c r="E108" s="6"/>
      <c r="F108" s="6"/>
    </row>
    <row r="109" spans="1:6" ht="17.5" customHeight="1">
      <c r="A109" s="42">
        <v>1893</v>
      </c>
      <c r="B109" s="34">
        <v>66970</v>
      </c>
      <c r="C109" s="6"/>
      <c r="D109" s="6"/>
      <c r="E109" s="6"/>
      <c r="F109" s="6"/>
    </row>
    <row r="110" spans="1:6" ht="17.5" customHeight="1">
      <c r="A110" s="42">
        <v>1894</v>
      </c>
      <c r="B110" s="34">
        <v>68275</v>
      </c>
      <c r="C110" s="6"/>
      <c r="D110" s="6"/>
      <c r="E110" s="6"/>
      <c r="F110" s="6"/>
    </row>
    <row r="111" spans="1:6" ht="17.5" customHeight="1">
      <c r="A111" s="42">
        <v>1895</v>
      </c>
      <c r="B111" s="34">
        <v>69580</v>
      </c>
      <c r="C111" s="6"/>
      <c r="D111" s="6"/>
      <c r="E111" s="6"/>
      <c r="F111" s="6"/>
    </row>
    <row r="112" spans="1:6" ht="17.5" customHeight="1">
      <c r="A112" s="42">
        <v>1896</v>
      </c>
      <c r="B112" s="34">
        <v>70885</v>
      </c>
      <c r="C112" s="6"/>
      <c r="D112" s="6"/>
      <c r="E112" s="6"/>
      <c r="F112" s="6"/>
    </row>
    <row r="113" spans="1:6" ht="17.5" customHeight="1">
      <c r="A113" s="42">
        <v>1897</v>
      </c>
      <c r="B113" s="34">
        <v>72189</v>
      </c>
      <c r="C113" s="34"/>
      <c r="D113" s="34"/>
      <c r="E113" s="34"/>
      <c r="F113" s="6"/>
    </row>
    <row r="114" spans="1:6" ht="17.5" customHeight="1">
      <c r="A114" s="42">
        <v>1898</v>
      </c>
      <c r="B114" s="34">
        <v>73494</v>
      </c>
      <c r="C114" s="34"/>
      <c r="D114" s="34"/>
      <c r="E114" s="34"/>
      <c r="F114" s="6"/>
    </row>
    <row r="115" spans="1:6" ht="17.5" customHeight="1">
      <c r="A115" s="42">
        <v>1899</v>
      </c>
      <c r="B115" s="34">
        <v>74799</v>
      </c>
      <c r="C115" s="34"/>
      <c r="D115" s="34"/>
      <c r="E115" s="34"/>
      <c r="F115" s="6"/>
    </row>
    <row r="116" spans="1:6" ht="17" customHeight="1">
      <c r="A116" s="44" t="s">
        <v>181</v>
      </c>
      <c r="B116" s="45"/>
      <c r="C116" s="34"/>
      <c r="D116" s="34"/>
      <c r="E116" s="34"/>
      <c r="F116" s="6"/>
    </row>
    <row r="117" spans="1:6" ht="54" customHeight="1">
      <c r="A117" s="46" t="s">
        <v>182</v>
      </c>
      <c r="B117" s="6"/>
      <c r="C117" s="6"/>
      <c r="D117" s="6"/>
      <c r="E117" s="6"/>
      <c r="F117" s="6"/>
    </row>
    <row r="118" spans="1:6" ht="90" customHeight="1">
      <c r="A118" s="47" t="s">
        <v>183</v>
      </c>
      <c r="B118" s="6"/>
      <c r="C118" s="6"/>
      <c r="D118" s="6"/>
      <c r="E118" s="6"/>
      <c r="F118" s="6"/>
    </row>
    <row r="119" spans="1:6" ht="41" customHeight="1">
      <c r="B119" s="6"/>
      <c r="C119" s="6"/>
      <c r="D119" s="6"/>
      <c r="E119" s="6"/>
      <c r="F119" s="6"/>
    </row>
    <row r="120" spans="1:6" ht="13.75" customHeight="1">
      <c r="A120" s="6"/>
      <c r="B120" s="6"/>
      <c r="C120" s="6"/>
      <c r="D120" s="6"/>
      <c r="E120" s="6"/>
      <c r="F120" s="6"/>
    </row>
    <row r="121" spans="1:6" ht="52" customHeight="1">
      <c r="A121" s="211" t="s">
        <v>619</v>
      </c>
      <c r="B121" s="6"/>
      <c r="C121" s="6"/>
      <c r="D121" s="6"/>
      <c r="E121" s="6"/>
      <c r="F121" s="6"/>
    </row>
    <row r="122" spans="1:6" ht="13.75" customHeight="1">
      <c r="A122" s="6"/>
      <c r="B122" s="6"/>
      <c r="C122" s="6"/>
      <c r="D122" s="6"/>
      <c r="E122" s="6"/>
      <c r="F122" s="6"/>
    </row>
    <row r="123" spans="1:6" ht="13.75" customHeight="1">
      <c r="A123" s="6"/>
      <c r="B123" s="6"/>
      <c r="C123" s="6"/>
      <c r="D123" s="6"/>
      <c r="E123" s="6"/>
      <c r="F123" s="6"/>
    </row>
    <row r="124" spans="1:6" ht="13.75" customHeight="1">
      <c r="A124" s="6"/>
      <c r="B124" s="6"/>
      <c r="C124" s="6"/>
      <c r="D124" s="6"/>
      <c r="E124" s="6"/>
      <c r="F124" s="6"/>
    </row>
    <row r="125" spans="1:6" ht="13.75" customHeight="1">
      <c r="A125" s="6"/>
      <c r="B125" s="6"/>
      <c r="C125" s="6"/>
      <c r="D125" s="6"/>
      <c r="E125" s="6"/>
      <c r="F125" s="6"/>
    </row>
    <row r="126" spans="1:6" ht="13.75" customHeight="1">
      <c r="A126" s="6"/>
      <c r="B126" s="6"/>
      <c r="C126" s="6"/>
      <c r="D126" s="6"/>
      <c r="E126" s="6"/>
      <c r="F126" s="6"/>
    </row>
    <row r="127" spans="1:6" ht="13.75" customHeight="1">
      <c r="A127" s="6"/>
      <c r="B127" s="6"/>
      <c r="C127" s="6"/>
      <c r="D127" s="6"/>
      <c r="E127" s="6"/>
      <c r="F127" s="6"/>
    </row>
    <row r="128" spans="1:6" ht="13.75" customHeight="1">
      <c r="A128" s="6"/>
      <c r="B128" s="6"/>
      <c r="C128" s="6"/>
      <c r="D128" s="6"/>
      <c r="E128" s="6"/>
      <c r="F128" s="6"/>
    </row>
    <row r="129" spans="1:6" ht="17.5" customHeight="1">
      <c r="A129" s="6"/>
      <c r="B129" s="34"/>
      <c r="C129" s="34"/>
      <c r="D129" s="34"/>
      <c r="E129" s="34"/>
      <c r="F129" s="6"/>
    </row>
    <row r="130" spans="1:6" ht="17.5" customHeight="1">
      <c r="A130" s="6"/>
      <c r="B130" s="34"/>
      <c r="C130" s="34"/>
      <c r="D130" s="34"/>
      <c r="E130" s="34"/>
      <c r="F130" s="6"/>
    </row>
    <row r="131" spans="1:6" ht="13.75" customHeight="1">
      <c r="A131" s="6"/>
      <c r="B131" s="6"/>
      <c r="C131" s="6"/>
      <c r="D131" s="6"/>
      <c r="E131" s="6"/>
      <c r="F131" s="6"/>
    </row>
    <row r="132" spans="1:6" ht="13.75" customHeight="1">
      <c r="A132" s="6"/>
      <c r="B132" s="6"/>
      <c r="C132" s="6"/>
      <c r="D132" s="6"/>
      <c r="E132" s="6"/>
      <c r="F132" s="6"/>
    </row>
    <row r="133" spans="1:6" ht="13.75" customHeight="1">
      <c r="A133" s="6"/>
      <c r="B133" s="6"/>
      <c r="C133" s="6"/>
      <c r="D133" s="6"/>
      <c r="E133" s="6"/>
      <c r="F133" s="6"/>
    </row>
    <row r="134" spans="1:6" ht="13.75" customHeight="1">
      <c r="A134" s="6"/>
      <c r="B134" s="6"/>
      <c r="C134" s="6"/>
      <c r="D134" s="6"/>
      <c r="E134" s="6"/>
      <c r="F134" s="6"/>
    </row>
    <row r="135" spans="1:6" ht="13.75" customHeight="1">
      <c r="A135" s="6"/>
      <c r="B135" s="6"/>
      <c r="C135" s="6"/>
      <c r="D135" s="6"/>
      <c r="E135" s="6"/>
      <c r="F135" s="6"/>
    </row>
    <row r="136" spans="1:6" ht="13.75" customHeight="1">
      <c r="A136" s="6"/>
      <c r="B136" s="6"/>
      <c r="C136" s="6"/>
      <c r="D136" s="6"/>
      <c r="E136" s="6"/>
      <c r="F136" s="6"/>
    </row>
    <row r="137" spans="1:6" ht="13.75" customHeight="1">
      <c r="A137" s="6"/>
      <c r="B137" s="6"/>
      <c r="C137" s="6"/>
      <c r="D137" s="6"/>
      <c r="E137" s="6"/>
      <c r="F137" s="6"/>
    </row>
    <row r="138" spans="1:6" ht="13.75" customHeight="1">
      <c r="A138" s="6"/>
      <c r="B138" s="6"/>
      <c r="C138" s="6"/>
      <c r="D138" s="6"/>
      <c r="E138" s="6"/>
      <c r="F138" s="6"/>
    </row>
    <row r="139" spans="1:6" ht="13.75" customHeight="1">
      <c r="A139" s="6"/>
      <c r="B139" s="6"/>
      <c r="C139" s="6"/>
      <c r="D139" s="6"/>
      <c r="E139" s="6"/>
      <c r="F139" s="6"/>
    </row>
    <row r="140" spans="1:6" ht="13.75" customHeight="1">
      <c r="A140" s="6"/>
      <c r="B140" s="6"/>
      <c r="C140" s="6"/>
      <c r="D140" s="6"/>
      <c r="E140" s="6"/>
      <c r="F140" s="6"/>
    </row>
    <row r="141" spans="1:6" ht="13.75" customHeight="1">
      <c r="A141" s="6"/>
      <c r="B141" s="6"/>
      <c r="C141" s="6"/>
      <c r="D141" s="6"/>
      <c r="E141" s="6"/>
      <c r="F141" s="6"/>
    </row>
    <row r="142" spans="1:6" ht="13.75" customHeight="1">
      <c r="A142" s="6"/>
      <c r="B142" s="6"/>
      <c r="C142" s="6"/>
      <c r="D142" s="6"/>
      <c r="E142" s="6"/>
      <c r="F142" s="6"/>
    </row>
    <row r="143" spans="1:6" ht="13.75" customHeight="1">
      <c r="A143" s="6"/>
      <c r="B143" s="6"/>
      <c r="C143" s="6"/>
      <c r="D143" s="6"/>
      <c r="E143" s="6"/>
      <c r="F143" s="6"/>
    </row>
    <row r="144" spans="1:6" ht="13.75" customHeight="1">
      <c r="A144" s="6"/>
      <c r="B144" s="6"/>
      <c r="C144" s="6"/>
      <c r="D144" s="6"/>
      <c r="E144" s="6"/>
      <c r="F144" s="6"/>
    </row>
    <row r="145" spans="1:6" ht="13.75" customHeight="1">
      <c r="A145" s="6"/>
      <c r="B145" s="6"/>
      <c r="C145" s="6"/>
      <c r="D145" s="6"/>
      <c r="E145" s="6"/>
      <c r="F145" s="6"/>
    </row>
    <row r="146" spans="1:6" ht="13.75" customHeight="1">
      <c r="A146" s="6"/>
      <c r="B146" s="6"/>
      <c r="C146" s="6"/>
      <c r="D146" s="6"/>
      <c r="E146" s="6"/>
      <c r="F146" s="6"/>
    </row>
    <row r="147" spans="1:6" ht="13.75" customHeight="1">
      <c r="A147" s="6"/>
      <c r="B147" s="6"/>
      <c r="C147" s="6"/>
      <c r="D147" s="6"/>
      <c r="E147" s="6"/>
      <c r="F147" s="6"/>
    </row>
    <row r="148" spans="1:6" ht="13.75" customHeight="1">
      <c r="A148" s="6"/>
      <c r="B148" s="6"/>
      <c r="C148" s="6"/>
      <c r="D148" s="6"/>
      <c r="E148" s="6"/>
      <c r="F148" s="6"/>
    </row>
    <row r="149" spans="1:6" ht="13.75" customHeight="1">
      <c r="A149" s="6"/>
      <c r="B149" s="6"/>
      <c r="C149" s="6"/>
      <c r="D149" s="6"/>
      <c r="E149" s="6"/>
      <c r="F149" s="6"/>
    </row>
    <row r="150" spans="1:6" ht="13.75" customHeight="1">
      <c r="A150" s="6"/>
      <c r="B150" s="6"/>
      <c r="C150" s="6"/>
      <c r="D150" s="6"/>
      <c r="E150" s="6"/>
      <c r="F150" s="6"/>
    </row>
    <row r="151" spans="1:6" ht="13.75" customHeight="1">
      <c r="A151" s="6"/>
      <c r="B151" s="6"/>
      <c r="C151" s="6"/>
      <c r="D151" s="6"/>
      <c r="E151" s="6"/>
      <c r="F151" s="6"/>
    </row>
    <row r="152" spans="1:6" ht="13.75" customHeight="1">
      <c r="A152" s="6"/>
      <c r="B152" s="6"/>
      <c r="C152" s="6"/>
      <c r="D152" s="6"/>
      <c r="E152" s="6"/>
      <c r="F152" s="6"/>
    </row>
    <row r="153" spans="1:6" ht="13.75" customHeight="1">
      <c r="A153" s="6"/>
      <c r="B153" s="6"/>
      <c r="C153" s="6"/>
      <c r="D153" s="6"/>
      <c r="E153" s="6"/>
      <c r="F153" s="6"/>
    </row>
    <row r="154" spans="1:6" ht="13.75" customHeight="1">
      <c r="A154" s="6"/>
      <c r="B154" s="6"/>
      <c r="C154" s="6"/>
      <c r="D154" s="6"/>
      <c r="E154" s="6"/>
      <c r="F154" s="6"/>
    </row>
    <row r="155" spans="1:6" ht="13.75" customHeight="1">
      <c r="A155" s="6"/>
      <c r="B155" s="6"/>
      <c r="C155" s="6"/>
      <c r="D155" s="6"/>
      <c r="E155" s="6"/>
      <c r="F155" s="6"/>
    </row>
    <row r="156" spans="1:6" ht="13.75" customHeight="1">
      <c r="A156" s="6"/>
      <c r="B156" s="6"/>
      <c r="C156" s="6"/>
      <c r="D156" s="6"/>
      <c r="E156" s="6"/>
      <c r="F156" s="6"/>
    </row>
    <row r="157" spans="1:6" ht="13.75" customHeight="1">
      <c r="A157" s="6"/>
      <c r="B157" s="6"/>
      <c r="C157" s="6"/>
      <c r="D157" s="6"/>
      <c r="E157" s="6"/>
      <c r="F157" s="6"/>
    </row>
    <row r="158" spans="1:6" ht="13.75" customHeight="1">
      <c r="A158" s="6"/>
      <c r="B158" s="6"/>
      <c r="C158" s="6"/>
      <c r="D158" s="6"/>
      <c r="E158" s="6"/>
      <c r="F158" s="6"/>
    </row>
    <row r="159" spans="1:6" ht="13.75" customHeight="1">
      <c r="A159" s="6"/>
      <c r="B159" s="6"/>
      <c r="C159" s="6"/>
      <c r="D159" s="6"/>
      <c r="E159" s="6"/>
      <c r="F159" s="6"/>
    </row>
    <row r="160" spans="1:6" ht="13.75" customHeight="1">
      <c r="A160" s="6"/>
      <c r="B160" s="6"/>
      <c r="C160" s="6"/>
      <c r="D160" s="6"/>
      <c r="E160" s="6"/>
      <c r="F160" s="6"/>
    </row>
    <row r="161" spans="1:6" ht="13.75" customHeight="1">
      <c r="A161" s="6"/>
      <c r="B161" s="6"/>
      <c r="C161" s="6"/>
      <c r="D161" s="6"/>
      <c r="E161" s="6"/>
      <c r="F161" s="6"/>
    </row>
    <row r="162" spans="1:6" ht="13.75" customHeight="1">
      <c r="A162" s="6"/>
      <c r="B162" s="6"/>
      <c r="C162" s="6"/>
      <c r="D162" s="6"/>
      <c r="E162" s="6"/>
      <c r="F162" s="6"/>
    </row>
    <row r="163" spans="1:6" ht="13.75" customHeight="1">
      <c r="A163" s="6"/>
      <c r="B163" s="6"/>
      <c r="C163" s="6"/>
      <c r="D163" s="6"/>
      <c r="E163" s="6"/>
      <c r="F163" s="6"/>
    </row>
    <row r="164" spans="1:6" ht="13.75" customHeight="1">
      <c r="A164" s="6"/>
      <c r="B164" s="6"/>
      <c r="C164" s="6"/>
      <c r="D164" s="6"/>
      <c r="E164" s="6"/>
      <c r="F164" s="6"/>
    </row>
    <row r="165" spans="1:6" ht="13.75" customHeight="1">
      <c r="A165" s="6"/>
      <c r="B165" s="6"/>
      <c r="C165" s="6"/>
      <c r="D165" s="6"/>
      <c r="E165" s="6"/>
      <c r="F165" s="6"/>
    </row>
    <row r="166" spans="1:6" ht="13.75" customHeight="1">
      <c r="A166" s="6"/>
      <c r="B166" s="6"/>
      <c r="C166" s="6"/>
      <c r="D166" s="6"/>
      <c r="E166" s="6"/>
      <c r="F166" s="6"/>
    </row>
    <row r="167" spans="1:6" ht="13.75" customHeight="1">
      <c r="A167" s="6"/>
      <c r="B167" s="6"/>
      <c r="C167" s="6"/>
      <c r="D167" s="6"/>
      <c r="E167" s="6"/>
      <c r="F167" s="6"/>
    </row>
    <row r="168" spans="1:6" ht="13.75" customHeight="1">
      <c r="A168" s="6"/>
      <c r="B168" s="6"/>
      <c r="C168" s="6"/>
      <c r="D168" s="6"/>
      <c r="E168" s="6"/>
      <c r="F168" s="6"/>
    </row>
    <row r="169" spans="1:6" ht="13.75" customHeight="1">
      <c r="A169" s="6"/>
      <c r="B169" s="6"/>
      <c r="C169" s="6"/>
      <c r="D169" s="6"/>
      <c r="E169" s="6"/>
      <c r="F169" s="6"/>
    </row>
    <row r="170" spans="1:6" ht="13.75" customHeight="1">
      <c r="A170" s="6"/>
      <c r="B170" s="6"/>
      <c r="C170" s="6"/>
      <c r="D170" s="6"/>
      <c r="E170" s="6"/>
      <c r="F170" s="6"/>
    </row>
    <row r="171" spans="1:6" ht="13.75" customHeight="1">
      <c r="A171" s="6"/>
      <c r="B171" s="6"/>
      <c r="C171" s="6"/>
      <c r="D171" s="6"/>
      <c r="E171" s="6"/>
      <c r="F171" s="6"/>
    </row>
    <row r="172" spans="1:6" ht="13.75" customHeight="1">
      <c r="A172" s="6"/>
      <c r="B172" s="6"/>
      <c r="C172" s="6"/>
      <c r="D172" s="6"/>
      <c r="E172" s="6"/>
      <c r="F172" s="6"/>
    </row>
    <row r="173" spans="1:6" ht="13.75" customHeight="1">
      <c r="A173" s="6"/>
      <c r="B173" s="6"/>
      <c r="C173" s="6"/>
      <c r="D173" s="6"/>
      <c r="E173" s="6"/>
      <c r="F173" s="6"/>
    </row>
    <row r="174" spans="1:6" ht="13.75" customHeight="1">
      <c r="A174" s="6"/>
      <c r="B174" s="6"/>
      <c r="C174" s="6"/>
      <c r="D174" s="6"/>
      <c r="E174" s="6"/>
      <c r="F174" s="6"/>
    </row>
    <row r="175" spans="1:6" ht="13.75" customHeight="1">
      <c r="A175" s="6"/>
      <c r="B175" s="6"/>
      <c r="C175" s="6"/>
      <c r="D175" s="6"/>
      <c r="E175" s="6"/>
      <c r="F175" s="6"/>
    </row>
    <row r="176" spans="1:6" ht="13.75" customHeight="1">
      <c r="A176" s="6"/>
      <c r="B176" s="6"/>
      <c r="C176" s="6"/>
      <c r="D176" s="6"/>
      <c r="E176" s="6"/>
      <c r="F176" s="6"/>
    </row>
    <row r="177" spans="1:6" ht="13.75" customHeight="1">
      <c r="A177" s="6"/>
      <c r="B177" s="6"/>
      <c r="C177" s="6"/>
      <c r="D177" s="6"/>
      <c r="E177" s="6"/>
      <c r="F177" s="6"/>
    </row>
    <row r="178" spans="1:6" ht="13.75" customHeight="1">
      <c r="A178" s="6"/>
      <c r="B178" s="6"/>
      <c r="C178" s="6"/>
      <c r="D178" s="6"/>
      <c r="E178" s="6"/>
      <c r="F178" s="6"/>
    </row>
    <row r="179" spans="1:6" ht="13.75" customHeight="1">
      <c r="A179" s="6"/>
      <c r="B179" s="6"/>
      <c r="C179" s="6"/>
      <c r="D179" s="6"/>
      <c r="E179" s="6"/>
      <c r="F179" s="6"/>
    </row>
    <row r="180" spans="1:6" ht="13.75" customHeight="1">
      <c r="A180" s="6"/>
      <c r="B180" s="6"/>
      <c r="C180" s="6"/>
      <c r="D180" s="6"/>
      <c r="E180" s="6"/>
      <c r="F180" s="6"/>
    </row>
    <row r="181" spans="1:6" ht="13.75" customHeight="1">
      <c r="A181" s="6"/>
      <c r="B181" s="6"/>
      <c r="C181" s="6"/>
      <c r="D181" s="6"/>
      <c r="E181" s="6"/>
      <c r="F181" s="6"/>
    </row>
    <row r="182" spans="1:6" ht="13.75" customHeight="1">
      <c r="A182" s="6"/>
      <c r="B182" s="6"/>
      <c r="C182" s="6"/>
      <c r="D182" s="6"/>
      <c r="E182" s="6"/>
      <c r="F182" s="6"/>
    </row>
    <row r="183" spans="1:6" ht="13.75" customHeight="1">
      <c r="A183" s="6"/>
      <c r="B183" s="6"/>
      <c r="C183" s="6"/>
      <c r="D183" s="6"/>
      <c r="E183" s="6"/>
      <c r="F183" s="6"/>
    </row>
    <row r="184" spans="1:6" ht="13.75" customHeight="1">
      <c r="A184" s="6"/>
      <c r="B184" s="6"/>
      <c r="C184" s="6"/>
      <c r="D184" s="6"/>
      <c r="E184" s="6"/>
      <c r="F184" s="6"/>
    </row>
    <row r="185" spans="1:6" ht="13.75" customHeight="1">
      <c r="A185" s="6"/>
      <c r="B185" s="6"/>
      <c r="C185" s="6"/>
      <c r="D185" s="6"/>
      <c r="E185" s="6"/>
      <c r="F185" s="6"/>
    </row>
    <row r="186" spans="1:6" ht="13.75" customHeight="1">
      <c r="A186" s="6"/>
      <c r="B186" s="6"/>
      <c r="C186" s="6"/>
      <c r="D186" s="6"/>
      <c r="E186" s="6"/>
      <c r="F186" s="6"/>
    </row>
    <row r="187" spans="1:6" ht="13.75" customHeight="1">
      <c r="A187" s="6"/>
      <c r="B187" s="6"/>
      <c r="C187" s="6"/>
      <c r="D187" s="6"/>
      <c r="E187" s="6"/>
      <c r="F187" s="6"/>
    </row>
    <row r="188" spans="1:6" ht="13.75" customHeight="1">
      <c r="A188" s="6"/>
      <c r="B188" s="6"/>
      <c r="C188" s="6"/>
      <c r="D188" s="6"/>
      <c r="E188" s="6"/>
      <c r="F188" s="6"/>
    </row>
    <row r="189" spans="1:6" ht="13.75" customHeight="1">
      <c r="A189" s="6"/>
      <c r="B189" s="6"/>
      <c r="C189" s="6"/>
      <c r="D189" s="6"/>
      <c r="E189" s="6"/>
      <c r="F189" s="6"/>
    </row>
    <row r="190" spans="1:6" ht="13.75" customHeight="1">
      <c r="A190" s="6"/>
      <c r="B190" s="6"/>
      <c r="C190" s="6"/>
      <c r="D190" s="6"/>
      <c r="E190" s="6"/>
      <c r="F190" s="6"/>
    </row>
    <row r="191" spans="1:6" ht="13.75" customHeight="1">
      <c r="A191" s="6"/>
      <c r="B191" s="6"/>
      <c r="C191" s="6"/>
      <c r="D191" s="6"/>
      <c r="E191" s="6"/>
      <c r="F191" s="6"/>
    </row>
    <row r="192" spans="1:6" ht="13.75" customHeight="1">
      <c r="A192" s="6"/>
      <c r="B192" s="6"/>
      <c r="C192" s="6"/>
      <c r="D192" s="6"/>
      <c r="E192" s="6"/>
      <c r="F192" s="6"/>
    </row>
    <row r="193" spans="1:6" ht="13.75" customHeight="1">
      <c r="A193" s="6"/>
      <c r="B193" s="6"/>
      <c r="C193" s="6"/>
      <c r="D193" s="6"/>
      <c r="E193" s="6"/>
      <c r="F193" s="6"/>
    </row>
    <row r="194" spans="1:6" ht="13.75" customHeight="1">
      <c r="A194" s="6"/>
      <c r="B194" s="6"/>
      <c r="C194" s="6"/>
      <c r="D194" s="6"/>
      <c r="E194" s="6"/>
      <c r="F194" s="6"/>
    </row>
    <row r="195" spans="1:6" ht="13.75" customHeight="1">
      <c r="A195" s="6"/>
      <c r="B195" s="6"/>
      <c r="C195" s="6"/>
      <c r="D195" s="6"/>
      <c r="E195" s="6"/>
      <c r="F195" s="6"/>
    </row>
    <row r="196" spans="1:6" ht="13.75" customHeight="1">
      <c r="A196" s="6"/>
      <c r="B196" s="6"/>
      <c r="C196" s="6"/>
      <c r="D196" s="6"/>
      <c r="E196" s="6"/>
      <c r="F196" s="6"/>
    </row>
    <row r="197" spans="1:6" ht="13.75" customHeight="1">
      <c r="A197" s="6"/>
      <c r="B197" s="6"/>
      <c r="C197" s="6"/>
      <c r="D197" s="6"/>
      <c r="E197" s="6"/>
      <c r="F197" s="6"/>
    </row>
    <row r="198" spans="1:6" ht="13.75" customHeight="1">
      <c r="A198" s="6"/>
      <c r="B198" s="6"/>
      <c r="C198" s="6"/>
      <c r="D198" s="6"/>
      <c r="E198" s="6"/>
      <c r="F198" s="6"/>
    </row>
    <row r="199" spans="1:6" ht="13.75" customHeight="1">
      <c r="A199" s="6"/>
      <c r="B199" s="6"/>
      <c r="C199" s="6"/>
      <c r="D199" s="6"/>
      <c r="E199" s="6"/>
      <c r="F199" s="6"/>
    </row>
    <row r="200" spans="1:6" ht="13.75" customHeight="1">
      <c r="A200" s="6"/>
      <c r="B200" s="6"/>
      <c r="C200" s="6"/>
      <c r="D200" s="6"/>
      <c r="E200" s="6"/>
      <c r="F200" s="6"/>
    </row>
    <row r="201" spans="1:6" ht="13.75" customHeight="1">
      <c r="A201" s="6"/>
      <c r="B201" s="6"/>
      <c r="C201" s="6"/>
      <c r="D201" s="6"/>
      <c r="E201" s="6"/>
      <c r="F201" s="6"/>
    </row>
    <row r="202" spans="1:6" ht="13.75" customHeight="1">
      <c r="A202" s="6"/>
      <c r="B202" s="6"/>
      <c r="C202" s="6"/>
      <c r="D202" s="6"/>
      <c r="E202" s="6"/>
      <c r="F202" s="6"/>
    </row>
    <row r="203" spans="1:6" ht="13.75" customHeight="1">
      <c r="A203" s="6"/>
      <c r="B203" s="6"/>
      <c r="C203" s="6"/>
      <c r="D203" s="6"/>
      <c r="E203" s="6"/>
      <c r="F203" s="6"/>
    </row>
    <row r="204" spans="1:6" ht="13.75" customHeight="1">
      <c r="A204" s="6"/>
      <c r="B204" s="6"/>
      <c r="C204" s="6"/>
      <c r="D204" s="6"/>
      <c r="E204" s="6"/>
      <c r="F204" s="6"/>
    </row>
    <row r="205" spans="1:6" ht="13.75" customHeight="1">
      <c r="A205" s="6"/>
      <c r="B205" s="6"/>
      <c r="C205" s="6"/>
      <c r="D205" s="6"/>
      <c r="E205" s="6"/>
      <c r="F205" s="6"/>
    </row>
    <row r="206" spans="1:6" ht="13.75" customHeight="1">
      <c r="A206" s="6"/>
      <c r="B206" s="6"/>
      <c r="C206" s="6"/>
      <c r="D206" s="6"/>
      <c r="E206" s="6"/>
      <c r="F206" s="6"/>
    </row>
    <row r="207" spans="1:6" ht="13.75" customHeight="1">
      <c r="A207" s="6"/>
      <c r="B207" s="6"/>
      <c r="C207" s="6"/>
      <c r="D207" s="6"/>
      <c r="E207" s="6"/>
      <c r="F207" s="6"/>
    </row>
    <row r="208" spans="1:6" ht="13.75" customHeight="1">
      <c r="A208" s="6"/>
      <c r="B208" s="6"/>
      <c r="C208" s="6"/>
      <c r="D208" s="6"/>
      <c r="E208" s="6"/>
      <c r="F208" s="6"/>
    </row>
    <row r="209" spans="1:6" ht="13.75" customHeight="1">
      <c r="A209" s="6"/>
      <c r="B209" s="6"/>
      <c r="C209" s="6"/>
      <c r="D209" s="6"/>
      <c r="E209" s="6"/>
      <c r="F209" s="6"/>
    </row>
    <row r="210" spans="1:6" ht="13.75" customHeight="1">
      <c r="A210" s="6"/>
      <c r="B210" s="6"/>
      <c r="C210" s="6"/>
      <c r="D210" s="6"/>
      <c r="E210" s="6"/>
      <c r="F210" s="6"/>
    </row>
    <row r="211" spans="1:6" ht="13.75" customHeight="1">
      <c r="A211" s="6"/>
      <c r="B211" s="6"/>
      <c r="C211" s="6"/>
      <c r="D211" s="6"/>
      <c r="E211" s="6"/>
      <c r="F211" s="6"/>
    </row>
    <row r="212" spans="1:6" ht="13.75" customHeight="1">
      <c r="A212" s="6"/>
      <c r="B212" s="6"/>
      <c r="C212" s="6"/>
      <c r="D212" s="6"/>
      <c r="E212" s="6"/>
      <c r="F212" s="6"/>
    </row>
  </sheetData>
  <pageMargins left="0.75" right="0.75" top="1" bottom="1" header="0.5" footer="0.5"/>
  <pageSetup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72"/>
  <sheetViews>
    <sheetView showGridLines="0" topLeftCell="A127" workbookViewId="0">
      <selection activeCell="C171" sqref="C171"/>
    </sheetView>
  </sheetViews>
  <sheetFormatPr baseColWidth="10" defaultColWidth="11.5" defaultRowHeight="13" customHeight="1"/>
  <cols>
    <col min="1" max="1" width="11.5" style="4" customWidth="1"/>
    <col min="2" max="2" width="15" style="4" customWidth="1"/>
    <col min="3" max="6" width="11.5" style="4" customWidth="1"/>
    <col min="7" max="16384" width="11.5" style="4"/>
  </cols>
  <sheetData>
    <row r="1" spans="1:5" ht="25" customHeight="1">
      <c r="A1" s="48" t="s">
        <v>184</v>
      </c>
      <c r="B1" s="49"/>
      <c r="C1" s="49"/>
      <c r="D1" s="49"/>
      <c r="E1" s="49"/>
    </row>
    <row r="2" spans="1:5" ht="13.75" customHeight="1">
      <c r="A2" s="49"/>
      <c r="B2" s="49"/>
      <c r="C2" s="49"/>
      <c r="D2" s="49"/>
      <c r="E2" s="49"/>
    </row>
    <row r="3" spans="1:5" ht="13.75" customHeight="1">
      <c r="A3" s="50" t="s">
        <v>185</v>
      </c>
      <c r="B3" s="49"/>
      <c r="C3" s="49"/>
      <c r="D3" s="49"/>
      <c r="E3" s="49"/>
    </row>
    <row r="4" spans="1:5" ht="13.75" customHeight="1">
      <c r="A4" s="49"/>
      <c r="B4" s="49"/>
      <c r="C4" s="49"/>
      <c r="D4" s="49"/>
      <c r="E4" s="49"/>
    </row>
    <row r="5" spans="1:5" ht="13.75" customHeight="1">
      <c r="A5" s="50" t="s">
        <v>186</v>
      </c>
      <c r="B5" s="49"/>
      <c r="C5" s="49"/>
      <c r="D5" s="49"/>
      <c r="E5" s="49"/>
    </row>
    <row r="6" spans="1:5" ht="13.75" customHeight="1">
      <c r="A6" s="50" t="s">
        <v>187</v>
      </c>
      <c r="B6" s="49"/>
      <c r="C6" s="49"/>
      <c r="D6" s="49"/>
      <c r="E6" s="49"/>
    </row>
    <row r="7" spans="1:5" ht="13.75" customHeight="1">
      <c r="A7" s="50" t="s">
        <v>188</v>
      </c>
      <c r="B7" s="49"/>
      <c r="C7" s="49"/>
      <c r="D7" s="49"/>
      <c r="E7" s="49"/>
    </row>
    <row r="8" spans="1:5" ht="13.75" customHeight="1">
      <c r="A8" s="49"/>
      <c r="B8" s="49"/>
      <c r="C8" s="49"/>
      <c r="D8" s="49"/>
      <c r="E8" s="49"/>
    </row>
    <row r="9" spans="1:5" ht="13.75" customHeight="1">
      <c r="A9" s="49"/>
      <c r="B9" s="49"/>
      <c r="C9" s="49"/>
      <c r="D9" s="49"/>
      <c r="E9" s="49"/>
    </row>
    <row r="10" spans="1:5" ht="13.75" customHeight="1">
      <c r="A10" s="49"/>
      <c r="B10" s="50" t="s">
        <v>189</v>
      </c>
      <c r="C10" s="49"/>
      <c r="D10" s="49"/>
      <c r="E10" s="49"/>
    </row>
    <row r="11" spans="1:5" ht="13.75" customHeight="1">
      <c r="A11" s="50" t="s">
        <v>190</v>
      </c>
      <c r="B11" s="50" t="s">
        <v>37</v>
      </c>
      <c r="C11" s="49"/>
      <c r="D11" s="49"/>
      <c r="E11" s="49"/>
    </row>
    <row r="12" spans="1:5" ht="13.75" customHeight="1">
      <c r="A12" s="49"/>
      <c r="B12" s="49"/>
      <c r="C12" s="49"/>
      <c r="D12" s="49"/>
      <c r="E12" s="49"/>
    </row>
    <row r="13" spans="1:5" ht="16" customHeight="1">
      <c r="A13" s="51">
        <v>183</v>
      </c>
      <c r="B13" s="52">
        <v>76094</v>
      </c>
      <c r="C13" s="49"/>
      <c r="D13" s="49"/>
      <c r="E13" s="49"/>
    </row>
    <row r="14" spans="1:5" ht="16" customHeight="1">
      <c r="A14" s="51">
        <v>548</v>
      </c>
      <c r="B14" s="52">
        <v>77584</v>
      </c>
      <c r="C14" s="49"/>
      <c r="D14" s="49"/>
      <c r="E14" s="49"/>
    </row>
    <row r="15" spans="1:5" ht="16" customHeight="1">
      <c r="A15" s="51">
        <v>913</v>
      </c>
      <c r="B15" s="52">
        <v>79163</v>
      </c>
      <c r="C15" s="49"/>
      <c r="D15" s="49"/>
      <c r="E15" s="49"/>
    </row>
    <row r="16" spans="1:5" ht="16" customHeight="1">
      <c r="A16" s="51">
        <v>1278</v>
      </c>
      <c r="B16" s="52">
        <v>80632</v>
      </c>
      <c r="C16" s="49"/>
      <c r="D16" s="49"/>
      <c r="E16" s="49"/>
    </row>
    <row r="17" spans="1:5" ht="16" customHeight="1">
      <c r="A17" s="51">
        <v>1644</v>
      </c>
      <c r="B17" s="52">
        <v>82166</v>
      </c>
      <c r="C17" s="49"/>
      <c r="D17" s="49"/>
      <c r="E17" s="49"/>
    </row>
    <row r="18" spans="1:5" ht="16" customHeight="1">
      <c r="A18" s="51">
        <v>2009</v>
      </c>
      <c r="B18" s="52">
        <v>83822</v>
      </c>
      <c r="C18" s="49"/>
      <c r="D18" s="49"/>
      <c r="E18" s="49"/>
    </row>
    <row r="19" spans="1:5" ht="16" customHeight="1">
      <c r="A19" s="51">
        <v>2374</v>
      </c>
      <c r="B19" s="52">
        <v>85450</v>
      </c>
      <c r="C19" s="49"/>
      <c r="D19" s="49"/>
      <c r="E19" s="49"/>
    </row>
    <row r="20" spans="1:5" ht="16" customHeight="1">
      <c r="A20" s="51">
        <v>2739</v>
      </c>
      <c r="B20" s="52">
        <v>87008</v>
      </c>
      <c r="C20" s="49"/>
      <c r="D20" s="49"/>
      <c r="E20" s="49"/>
    </row>
    <row r="21" spans="1:5" ht="16" customHeight="1">
      <c r="A21" s="51">
        <v>3105</v>
      </c>
      <c r="B21" s="52">
        <v>88710</v>
      </c>
      <c r="C21" s="49"/>
      <c r="D21" s="49"/>
      <c r="E21" s="49"/>
    </row>
    <row r="22" spans="1:5" ht="16" customHeight="1">
      <c r="A22" s="51">
        <v>3470</v>
      </c>
      <c r="B22" s="52">
        <v>90490</v>
      </c>
      <c r="C22" s="49"/>
      <c r="D22" s="49"/>
      <c r="E22" s="49"/>
    </row>
    <row r="23" spans="1:5" ht="16" customHeight="1">
      <c r="A23" s="51">
        <v>3835</v>
      </c>
      <c r="B23" s="52">
        <v>92407</v>
      </c>
      <c r="C23" s="49"/>
      <c r="D23" s="49"/>
      <c r="E23" s="49"/>
    </row>
    <row r="24" spans="1:5" ht="16" customHeight="1">
      <c r="A24" s="51">
        <v>4200</v>
      </c>
      <c r="B24" s="52">
        <v>93863</v>
      </c>
      <c r="C24" s="49"/>
      <c r="D24" s="49"/>
      <c r="E24" s="49"/>
    </row>
    <row r="25" spans="1:5" ht="16" customHeight="1">
      <c r="A25" s="51">
        <v>4566</v>
      </c>
      <c r="B25" s="52">
        <v>95335</v>
      </c>
      <c r="C25" s="49"/>
      <c r="D25" s="49"/>
      <c r="E25" s="49"/>
    </row>
    <row r="26" spans="1:5" ht="16" customHeight="1">
      <c r="A26" s="51">
        <v>4931</v>
      </c>
      <c r="B26" s="52">
        <v>97225</v>
      </c>
      <c r="C26" s="49"/>
      <c r="D26" s="49"/>
      <c r="E26" s="49"/>
    </row>
    <row r="27" spans="1:5" ht="16" customHeight="1">
      <c r="A27" s="51">
        <v>5296</v>
      </c>
      <c r="B27" s="52">
        <v>99111</v>
      </c>
      <c r="C27" s="49"/>
      <c r="D27" s="49"/>
      <c r="E27" s="49"/>
    </row>
    <row r="28" spans="1:5" ht="16" customHeight="1">
      <c r="A28" s="51">
        <v>5661</v>
      </c>
      <c r="B28" s="52">
        <v>100546</v>
      </c>
      <c r="C28" s="49"/>
      <c r="D28" s="49"/>
      <c r="E28" s="49"/>
    </row>
    <row r="29" spans="1:5" ht="16" customHeight="1">
      <c r="A29" s="51">
        <v>6027</v>
      </c>
      <c r="B29" s="52">
        <v>101961</v>
      </c>
      <c r="C29" s="49"/>
      <c r="D29" s="49"/>
      <c r="E29" s="49"/>
    </row>
    <row r="30" spans="1:5" ht="16" customHeight="1">
      <c r="A30" s="51">
        <v>6392</v>
      </c>
      <c r="B30" s="52">
        <v>103414</v>
      </c>
      <c r="C30" s="49"/>
      <c r="D30" s="49"/>
      <c r="E30" s="49"/>
    </row>
    <row r="31" spans="1:5" ht="16" customHeight="1">
      <c r="A31" s="51">
        <v>6757</v>
      </c>
      <c r="B31" s="52">
        <v>104550</v>
      </c>
      <c r="C31" s="49"/>
      <c r="D31" s="49"/>
      <c r="E31" s="49"/>
    </row>
    <row r="32" spans="1:5" ht="16" customHeight="1">
      <c r="A32" s="51">
        <v>7122</v>
      </c>
      <c r="B32" s="52">
        <v>105063</v>
      </c>
      <c r="C32" s="49"/>
      <c r="D32" s="49"/>
      <c r="E32" s="49"/>
    </row>
    <row r="33" spans="1:5" ht="16" customHeight="1">
      <c r="A33" s="51">
        <v>7488</v>
      </c>
      <c r="B33" s="52">
        <v>106461</v>
      </c>
      <c r="C33" s="49"/>
      <c r="D33" s="49"/>
      <c r="E33" s="49"/>
    </row>
    <row r="34" spans="1:5" ht="16" customHeight="1">
      <c r="A34" s="51">
        <v>7853</v>
      </c>
      <c r="B34" s="52">
        <v>108538</v>
      </c>
      <c r="C34" s="49"/>
      <c r="D34" s="49"/>
      <c r="E34" s="49"/>
    </row>
    <row r="35" spans="1:5" ht="16" customHeight="1">
      <c r="A35" s="51">
        <v>8218</v>
      </c>
      <c r="B35" s="52">
        <v>110049</v>
      </c>
      <c r="C35" s="49"/>
      <c r="D35" s="49"/>
      <c r="E35" s="49"/>
    </row>
    <row r="36" spans="1:5" ht="16" customHeight="1">
      <c r="A36" s="51">
        <v>8583</v>
      </c>
      <c r="B36" s="52">
        <v>111947</v>
      </c>
      <c r="C36" s="49"/>
      <c r="D36" s="49"/>
      <c r="E36" s="49"/>
    </row>
    <row r="37" spans="1:5" ht="16" customHeight="1">
      <c r="A37" s="51">
        <v>8949</v>
      </c>
      <c r="B37" s="52">
        <v>114109</v>
      </c>
      <c r="C37" s="49"/>
      <c r="D37" s="49"/>
      <c r="E37" s="49"/>
    </row>
    <row r="38" spans="1:5" ht="16" customHeight="1">
      <c r="A38" s="51">
        <v>9314</v>
      </c>
      <c r="B38" s="52">
        <v>115829</v>
      </c>
      <c r="C38" s="49"/>
      <c r="D38" s="49"/>
      <c r="E38" s="49"/>
    </row>
    <row r="39" spans="1:5" ht="16" customHeight="1">
      <c r="A39" s="51">
        <v>9679</v>
      </c>
      <c r="B39" s="52">
        <v>117397</v>
      </c>
      <c r="C39" s="49"/>
      <c r="D39" s="49"/>
      <c r="E39" s="49"/>
    </row>
    <row r="40" spans="1:5" ht="16" customHeight="1">
      <c r="A40" s="51">
        <v>10044</v>
      </c>
      <c r="B40" s="52">
        <v>119035</v>
      </c>
      <c r="C40" s="49"/>
      <c r="D40" s="49"/>
      <c r="E40" s="49"/>
    </row>
    <row r="41" spans="1:5" ht="16" customHeight="1">
      <c r="A41" s="51">
        <v>10410</v>
      </c>
      <c r="B41" s="52">
        <v>120509</v>
      </c>
      <c r="C41" s="49"/>
      <c r="D41" s="49"/>
      <c r="E41" s="49"/>
    </row>
    <row r="42" spans="1:5" ht="13.75" customHeight="1">
      <c r="A42" s="49"/>
      <c r="B42" s="49"/>
      <c r="C42" s="49"/>
      <c r="D42" s="49"/>
      <c r="E42" s="49"/>
    </row>
    <row r="43" spans="1:5" ht="13.75" customHeight="1">
      <c r="A43" s="50" t="s">
        <v>191</v>
      </c>
      <c r="B43" s="49"/>
      <c r="C43" s="49"/>
      <c r="D43" s="49"/>
      <c r="E43" s="49"/>
    </row>
    <row r="44" spans="1:5" ht="13.75" customHeight="1">
      <c r="A44" s="50" t="s">
        <v>192</v>
      </c>
      <c r="B44" s="49"/>
      <c r="C44" s="49"/>
      <c r="D44" s="49"/>
      <c r="E44" s="49"/>
    </row>
    <row r="45" spans="1:5" ht="13.75" customHeight="1">
      <c r="A45" s="50" t="s">
        <v>193</v>
      </c>
      <c r="B45" s="49"/>
      <c r="C45" s="49"/>
      <c r="D45" s="49"/>
      <c r="E45" s="49"/>
    </row>
    <row r="46" spans="1:5" ht="13.75" customHeight="1">
      <c r="A46" s="50" t="s">
        <v>194</v>
      </c>
      <c r="B46" s="49"/>
      <c r="C46" s="49"/>
      <c r="D46" s="49"/>
      <c r="E46" s="49"/>
    </row>
    <row r="47" spans="1:5" ht="13.75" customHeight="1">
      <c r="A47" s="50" t="s">
        <v>195</v>
      </c>
      <c r="B47" s="49"/>
      <c r="C47" s="49"/>
      <c r="D47" s="49"/>
      <c r="E47" s="49"/>
    </row>
    <row r="48" spans="1:5" ht="13.75" customHeight="1">
      <c r="A48" s="50" t="s">
        <v>196</v>
      </c>
      <c r="B48" s="49"/>
      <c r="C48" s="49"/>
      <c r="D48" s="49"/>
      <c r="E48" s="49"/>
    </row>
    <row r="49" spans="1:5" ht="13.75" customHeight="1">
      <c r="A49" s="50" t="s">
        <v>197</v>
      </c>
      <c r="B49" s="49"/>
      <c r="C49" s="49"/>
      <c r="D49" s="49"/>
      <c r="E49" s="49"/>
    </row>
    <row r="50" spans="1:5" ht="13.75" customHeight="1">
      <c r="A50" s="49"/>
      <c r="B50" s="49"/>
      <c r="C50" s="49"/>
      <c r="D50" s="49"/>
      <c r="E50" s="49"/>
    </row>
    <row r="51" spans="1:5" ht="13.75" customHeight="1">
      <c r="A51" s="50" t="s">
        <v>198</v>
      </c>
      <c r="B51" s="49"/>
      <c r="C51" s="49"/>
      <c r="D51" s="49"/>
      <c r="E51" s="49"/>
    </row>
    <row r="52" spans="1:5" ht="13.75" customHeight="1">
      <c r="A52" s="53">
        <v>1917</v>
      </c>
      <c r="B52" s="54">
        <v>103414000</v>
      </c>
      <c r="C52" s="49"/>
      <c r="D52" s="49"/>
      <c r="E52" s="49"/>
    </row>
    <row r="53" spans="1:5" ht="13.75" customHeight="1">
      <c r="A53" s="53">
        <v>1918</v>
      </c>
      <c r="B53" s="54">
        <v>104550000</v>
      </c>
      <c r="C53" s="49"/>
      <c r="D53" s="49"/>
      <c r="E53" s="49"/>
    </row>
    <row r="54" spans="1:5" ht="13.75" customHeight="1">
      <c r="A54" s="53">
        <v>1919</v>
      </c>
      <c r="B54" s="54">
        <v>105063000</v>
      </c>
      <c r="C54" s="49"/>
      <c r="D54" s="49"/>
      <c r="E54" s="49"/>
    </row>
    <row r="55" spans="1:5" ht="13.75" customHeight="1">
      <c r="A55" s="49"/>
      <c r="B55" s="49"/>
      <c r="C55" s="49"/>
      <c r="D55" s="49"/>
      <c r="E55" s="49"/>
    </row>
    <row r="56" spans="1:5" ht="13.75" customHeight="1">
      <c r="A56" s="50" t="s">
        <v>199</v>
      </c>
      <c r="B56" s="49"/>
      <c r="C56" s="49"/>
      <c r="D56" s="49"/>
      <c r="E56" s="49"/>
    </row>
    <row r="57" spans="1:5" ht="13.75" customHeight="1">
      <c r="A57" s="50" t="s">
        <v>200</v>
      </c>
      <c r="B57" s="49"/>
      <c r="C57" s="49"/>
      <c r="D57" s="49"/>
      <c r="E57" s="49"/>
    </row>
    <row r="58" spans="1:5" ht="13.75" customHeight="1">
      <c r="A58" s="49"/>
      <c r="B58" s="49"/>
      <c r="C58" s="49"/>
      <c r="D58" s="49"/>
      <c r="E58" s="49"/>
    </row>
    <row r="59" spans="1:5" ht="13.75" customHeight="1">
      <c r="A59" s="50" t="s">
        <v>201</v>
      </c>
      <c r="B59" s="49"/>
      <c r="C59" s="49"/>
      <c r="D59" s="49"/>
      <c r="E59" s="49"/>
    </row>
    <row r="60" spans="1:5" ht="13.75" customHeight="1">
      <c r="A60" s="50" t="s">
        <v>202</v>
      </c>
      <c r="B60" s="49"/>
      <c r="C60" s="49"/>
      <c r="D60" s="49"/>
      <c r="E60" s="49"/>
    </row>
    <row r="61" spans="1:5" ht="13.75" customHeight="1">
      <c r="A61" s="50" t="s">
        <v>203</v>
      </c>
      <c r="B61" s="49"/>
      <c r="C61" s="49"/>
      <c r="D61" s="49"/>
      <c r="E61" s="49"/>
    </row>
    <row r="62" spans="1:5" ht="13.75" customHeight="1">
      <c r="A62" s="50" t="s">
        <v>204</v>
      </c>
      <c r="B62" s="49"/>
      <c r="C62" s="49"/>
      <c r="D62" s="49"/>
      <c r="E62" s="49"/>
    </row>
    <row r="63" spans="1:5" ht="13.75" customHeight="1">
      <c r="A63" s="50" t="s">
        <v>205</v>
      </c>
      <c r="B63" s="49"/>
      <c r="C63" s="49"/>
      <c r="D63" s="49"/>
      <c r="E63" s="49"/>
    </row>
    <row r="64" spans="1:5" ht="13.75" customHeight="1">
      <c r="A64" s="50" t="s">
        <v>206</v>
      </c>
      <c r="B64" s="49"/>
      <c r="C64" s="49"/>
      <c r="D64" s="49"/>
      <c r="E64" s="49"/>
    </row>
    <row r="65" spans="1:5" ht="13.75" customHeight="1">
      <c r="A65" s="49"/>
      <c r="B65" s="49"/>
      <c r="C65" s="49"/>
      <c r="D65" s="49"/>
      <c r="E65" s="49"/>
    </row>
    <row r="66" spans="1:5" ht="25" customHeight="1">
      <c r="A66" s="48" t="s">
        <v>207</v>
      </c>
      <c r="B66" s="49"/>
      <c r="C66" s="49"/>
      <c r="D66" s="49"/>
      <c r="E66" s="49"/>
    </row>
    <row r="67" spans="1:5" ht="13.75" customHeight="1">
      <c r="A67" s="50" t="s">
        <v>208</v>
      </c>
      <c r="B67" s="49"/>
      <c r="C67" s="49"/>
      <c r="D67" s="49"/>
      <c r="E67" s="49"/>
    </row>
    <row r="68" spans="1:5" ht="13.75" customHeight="1">
      <c r="A68" s="50" t="s">
        <v>209</v>
      </c>
      <c r="B68" s="49"/>
      <c r="C68" s="49"/>
      <c r="D68" s="49"/>
      <c r="E68" s="49"/>
    </row>
    <row r="69" spans="1:5" ht="13.75" customHeight="1">
      <c r="A69" s="50" t="s">
        <v>210</v>
      </c>
      <c r="B69" s="49"/>
      <c r="C69" s="49"/>
      <c r="D69" s="49"/>
      <c r="E69" s="49"/>
    </row>
    <row r="70" spans="1:5" ht="13.75" customHeight="1">
      <c r="A70" s="50" t="s">
        <v>211</v>
      </c>
      <c r="B70" s="49"/>
      <c r="C70" s="49"/>
      <c r="D70" s="49"/>
      <c r="E70" s="49"/>
    </row>
    <row r="71" spans="1:5" ht="13.75" customHeight="1">
      <c r="A71" s="50" t="s">
        <v>212</v>
      </c>
      <c r="B71" s="49"/>
      <c r="C71" s="49"/>
      <c r="D71" s="49"/>
      <c r="E71" s="49"/>
    </row>
    <row r="72" spans="1:5" ht="13.75" customHeight="1">
      <c r="A72" s="50" t="s">
        <v>213</v>
      </c>
      <c r="B72" s="49"/>
      <c r="C72" s="49"/>
      <c r="D72" s="49"/>
      <c r="E72" s="49"/>
    </row>
    <row r="73" spans="1:5" ht="13.75" customHeight="1">
      <c r="A73" s="49"/>
      <c r="B73" s="49"/>
      <c r="C73" s="49"/>
      <c r="D73" s="49"/>
      <c r="E73" s="49"/>
    </row>
    <row r="74" spans="1:5" ht="13.75" customHeight="1">
      <c r="A74" s="50" t="s">
        <v>214</v>
      </c>
      <c r="B74" s="50" t="s">
        <v>215</v>
      </c>
      <c r="C74" s="49"/>
      <c r="D74" s="49"/>
      <c r="E74" s="49"/>
    </row>
    <row r="75" spans="1:5" ht="13.75" customHeight="1">
      <c r="A75" s="49"/>
      <c r="B75" s="49"/>
      <c r="C75" s="49"/>
      <c r="D75" s="49"/>
      <c r="E75" s="49"/>
    </row>
    <row r="76" spans="1:5" ht="13.75" customHeight="1">
      <c r="A76" s="50" t="s">
        <v>216</v>
      </c>
      <c r="B76" s="49"/>
      <c r="C76" s="49"/>
      <c r="D76" s="49"/>
      <c r="E76" s="49"/>
    </row>
    <row r="77" spans="1:5" ht="13.75" customHeight="1">
      <c r="A77" s="50" t="s">
        <v>217</v>
      </c>
      <c r="B77" s="199" t="s">
        <v>214</v>
      </c>
      <c r="C77" s="49"/>
      <c r="D77" s="49"/>
      <c r="E77" s="49"/>
    </row>
    <row r="78" spans="1:5" ht="13.75" customHeight="1">
      <c r="A78" s="55">
        <v>10594</v>
      </c>
      <c r="B78" s="56">
        <v>121878</v>
      </c>
      <c r="C78" s="49"/>
      <c r="D78" s="49"/>
      <c r="E78" s="49"/>
    </row>
    <row r="79" spans="1:5" ht="13.75" customHeight="1">
      <c r="A79" s="55">
        <v>10959</v>
      </c>
      <c r="B79" s="56">
        <v>123188</v>
      </c>
      <c r="C79" s="49"/>
      <c r="D79" s="49"/>
      <c r="E79" s="49"/>
    </row>
    <row r="80" spans="1:5" ht="13.75" customHeight="1">
      <c r="A80" s="55">
        <v>11324</v>
      </c>
      <c r="B80" s="56">
        <v>124149</v>
      </c>
      <c r="C80" s="49"/>
      <c r="D80" s="49"/>
      <c r="E80" s="49"/>
    </row>
    <row r="81" spans="1:5" ht="13.75" customHeight="1">
      <c r="A81" s="55">
        <v>11689</v>
      </c>
      <c r="B81" s="56">
        <v>124949</v>
      </c>
      <c r="C81" s="49"/>
      <c r="D81" s="49"/>
      <c r="E81" s="49"/>
    </row>
    <row r="82" spans="1:5" ht="13.75" customHeight="1">
      <c r="A82" s="55">
        <v>12055</v>
      </c>
      <c r="B82" s="56">
        <v>125690</v>
      </c>
      <c r="C82" s="49"/>
      <c r="D82" s="49"/>
      <c r="E82" s="49"/>
    </row>
    <row r="83" spans="1:5" ht="13.75" customHeight="1">
      <c r="A83" s="55">
        <v>12420</v>
      </c>
      <c r="B83" s="56">
        <v>126485</v>
      </c>
      <c r="C83" s="49"/>
      <c r="D83" s="49"/>
      <c r="E83" s="49"/>
    </row>
    <row r="84" spans="1:5" ht="13.75" customHeight="1">
      <c r="A84" s="55">
        <v>12785</v>
      </c>
      <c r="B84" s="56">
        <v>127362</v>
      </c>
      <c r="C84" s="49"/>
      <c r="D84" s="49"/>
      <c r="E84" s="49"/>
    </row>
    <row r="85" spans="1:5" ht="13.75" customHeight="1">
      <c r="A85" s="55">
        <v>13150</v>
      </c>
      <c r="B85" s="56">
        <v>128181</v>
      </c>
      <c r="C85" s="49"/>
      <c r="D85" s="49"/>
      <c r="E85" s="49"/>
    </row>
    <row r="86" spans="1:5" ht="13.75" customHeight="1">
      <c r="A86" s="55">
        <v>13516</v>
      </c>
      <c r="B86" s="56">
        <v>128961</v>
      </c>
      <c r="C86" s="49"/>
      <c r="D86" s="49"/>
      <c r="E86" s="49"/>
    </row>
    <row r="87" spans="1:5" ht="13.75" customHeight="1">
      <c r="A87" s="55">
        <v>13881</v>
      </c>
      <c r="B87" s="56">
        <v>129969</v>
      </c>
      <c r="C87" s="49"/>
      <c r="D87" s="49"/>
      <c r="E87" s="49"/>
    </row>
    <row r="88" spans="1:5" ht="13.75" customHeight="1">
      <c r="A88" s="55">
        <v>14246</v>
      </c>
      <c r="B88" s="56">
        <v>131028</v>
      </c>
      <c r="C88" s="49"/>
      <c r="D88" s="49"/>
      <c r="E88" s="49"/>
    </row>
    <row r="89" spans="1:5" ht="13.75" customHeight="1">
      <c r="A89" s="55">
        <v>14611</v>
      </c>
      <c r="B89" s="56">
        <v>132122</v>
      </c>
      <c r="C89" s="49"/>
      <c r="D89" s="49"/>
      <c r="E89" s="49"/>
    </row>
    <row r="90" spans="1:5" ht="13.75" customHeight="1">
      <c r="A90" s="55">
        <v>14977</v>
      </c>
      <c r="B90" s="56">
        <v>133402</v>
      </c>
      <c r="C90" s="49"/>
      <c r="D90" s="49"/>
      <c r="E90" s="49"/>
    </row>
    <row r="91" spans="1:5" ht="13.75" customHeight="1">
      <c r="A91" s="55">
        <v>15342</v>
      </c>
      <c r="B91" s="56">
        <v>134860</v>
      </c>
      <c r="C91" s="49"/>
      <c r="D91" s="49"/>
      <c r="E91" s="49"/>
    </row>
    <row r="92" spans="1:5" ht="13.75" customHeight="1">
      <c r="A92" s="55">
        <v>15707</v>
      </c>
      <c r="B92" s="56">
        <v>136739</v>
      </c>
      <c r="C92" s="49"/>
      <c r="D92" s="49"/>
      <c r="E92" s="49"/>
    </row>
    <row r="93" spans="1:5" ht="13.75" customHeight="1">
      <c r="A93" s="55">
        <v>16072</v>
      </c>
      <c r="B93" s="56">
        <v>138397</v>
      </c>
      <c r="C93" s="49"/>
      <c r="D93" s="49"/>
      <c r="E93" s="49"/>
    </row>
    <row r="94" spans="1:5" ht="13.75" customHeight="1">
      <c r="A94" s="55">
        <v>16438</v>
      </c>
      <c r="B94" s="56">
        <v>139928</v>
      </c>
      <c r="C94" s="49"/>
      <c r="D94" s="49"/>
      <c r="E94" s="49"/>
    </row>
    <row r="95" spans="1:5" ht="13.75" customHeight="1">
      <c r="A95" s="55">
        <v>16803</v>
      </c>
      <c r="B95" s="56">
        <v>141389</v>
      </c>
      <c r="C95" s="49"/>
      <c r="D95" s="49"/>
      <c r="E95" s="49"/>
    </row>
    <row r="96" spans="1:5" ht="13.75" customHeight="1">
      <c r="A96" s="55">
        <v>17168</v>
      </c>
      <c r="B96" s="56">
        <v>144126</v>
      </c>
      <c r="C96" s="49"/>
      <c r="D96" s="49"/>
      <c r="E96" s="49"/>
    </row>
    <row r="97" spans="1:5" ht="13.75" customHeight="1">
      <c r="A97" s="55">
        <v>17533</v>
      </c>
      <c r="B97" s="56">
        <v>146631</v>
      </c>
      <c r="C97" s="49"/>
      <c r="D97" s="49"/>
      <c r="E97" s="49"/>
    </row>
    <row r="98" spans="1:5" ht="13.75" customHeight="1">
      <c r="A98" s="55">
        <v>17899</v>
      </c>
      <c r="B98" s="56">
        <v>149188</v>
      </c>
      <c r="C98" s="49"/>
      <c r="D98" s="49"/>
      <c r="E98" s="49"/>
    </row>
    <row r="99" spans="1:5" ht="13.75" customHeight="1">
      <c r="A99" s="55">
        <v>18264</v>
      </c>
      <c r="B99" s="56">
        <v>151684</v>
      </c>
      <c r="C99" s="49"/>
      <c r="D99" s="49"/>
      <c r="E99" s="49"/>
    </row>
    <row r="100" spans="1:5" ht="13.75" customHeight="1">
      <c r="A100" s="55">
        <v>18629</v>
      </c>
      <c r="B100" s="56">
        <v>154287</v>
      </c>
      <c r="C100" s="49"/>
      <c r="D100" s="49"/>
      <c r="E100" s="49"/>
    </row>
    <row r="101" spans="1:5" ht="13.75" customHeight="1">
      <c r="A101" s="55">
        <v>18994</v>
      </c>
      <c r="B101" s="56">
        <v>156954</v>
      </c>
      <c r="C101" s="49"/>
      <c r="D101" s="49"/>
      <c r="E101" s="49"/>
    </row>
    <row r="102" spans="1:5" ht="13.75" customHeight="1">
      <c r="A102" s="55">
        <v>19360</v>
      </c>
      <c r="B102" s="56">
        <v>159565</v>
      </c>
      <c r="C102" s="49"/>
      <c r="D102" s="49"/>
      <c r="E102" s="49"/>
    </row>
    <row r="103" spans="1:5" ht="13.75" customHeight="1">
      <c r="A103" s="55">
        <v>19725</v>
      </c>
      <c r="B103" s="56">
        <v>162391</v>
      </c>
      <c r="C103" s="49"/>
      <c r="D103" s="49"/>
      <c r="E103" s="49"/>
    </row>
    <row r="104" spans="1:5" ht="13.75" customHeight="1">
      <c r="A104" s="55">
        <v>20090</v>
      </c>
      <c r="B104" s="56">
        <v>165275</v>
      </c>
      <c r="C104" s="49"/>
      <c r="D104" s="49"/>
      <c r="E104" s="49"/>
    </row>
    <row r="105" spans="1:5" ht="13.75" customHeight="1">
      <c r="A105" s="55">
        <v>20455</v>
      </c>
      <c r="B105" s="56">
        <v>168221</v>
      </c>
      <c r="C105" s="49"/>
      <c r="D105" s="49"/>
      <c r="E105" s="49"/>
    </row>
    <row r="106" spans="1:5" ht="13.75" customHeight="1">
      <c r="A106" s="55">
        <v>20821</v>
      </c>
      <c r="B106" s="56">
        <v>171274</v>
      </c>
      <c r="C106" s="49"/>
      <c r="D106" s="49"/>
      <c r="E106" s="49"/>
    </row>
    <row r="107" spans="1:5" ht="13.75" customHeight="1">
      <c r="A107" s="55">
        <v>21186</v>
      </c>
      <c r="B107" s="56">
        <v>174141</v>
      </c>
      <c r="C107" s="49"/>
      <c r="D107" s="49"/>
      <c r="E107" s="49"/>
    </row>
    <row r="108" spans="1:5" ht="13.75" customHeight="1">
      <c r="A108" s="55">
        <v>21551</v>
      </c>
      <c r="B108" s="56">
        <v>177130</v>
      </c>
      <c r="C108" s="49"/>
      <c r="D108" s="49"/>
      <c r="E108" s="49"/>
    </row>
    <row r="109" spans="1:5" ht="13.75" customHeight="1">
      <c r="A109" s="55">
        <v>21916</v>
      </c>
      <c r="B109" s="56">
        <v>180760</v>
      </c>
      <c r="C109" s="49"/>
      <c r="D109" s="49"/>
      <c r="E109" s="49"/>
    </row>
    <row r="110" spans="1:5" ht="13.75" customHeight="1">
      <c r="A110" s="55">
        <v>22282</v>
      </c>
      <c r="B110" s="56">
        <v>183742</v>
      </c>
      <c r="C110" s="49"/>
      <c r="D110" s="49"/>
      <c r="E110" s="49"/>
    </row>
    <row r="111" spans="1:5" ht="13.75" customHeight="1">
      <c r="A111" s="55">
        <v>22647</v>
      </c>
      <c r="B111" s="56">
        <v>186590</v>
      </c>
      <c r="C111" s="49"/>
      <c r="D111" s="49"/>
      <c r="E111" s="49"/>
    </row>
    <row r="112" spans="1:5" ht="13.75" customHeight="1">
      <c r="A112" s="55">
        <v>23012</v>
      </c>
      <c r="B112" s="56">
        <v>189300</v>
      </c>
      <c r="C112" s="49"/>
      <c r="D112" s="49"/>
      <c r="E112" s="49"/>
    </row>
    <row r="113" spans="1:5" ht="13.75" customHeight="1">
      <c r="A113" s="55">
        <v>23377</v>
      </c>
      <c r="B113" s="56">
        <v>191927</v>
      </c>
      <c r="C113" s="49"/>
      <c r="D113" s="49"/>
      <c r="E113" s="49"/>
    </row>
    <row r="114" spans="1:5" ht="13.75" customHeight="1">
      <c r="A114" s="55">
        <v>23743</v>
      </c>
      <c r="B114" s="56">
        <v>194347</v>
      </c>
      <c r="C114" s="49"/>
      <c r="D114" s="49"/>
      <c r="E114" s="49"/>
    </row>
    <row r="115" spans="1:5" ht="13.75" customHeight="1">
      <c r="A115" s="55">
        <v>24108</v>
      </c>
      <c r="B115" s="56">
        <v>196599</v>
      </c>
      <c r="C115" s="49"/>
      <c r="D115" s="49"/>
      <c r="E115" s="49"/>
    </row>
    <row r="116" spans="1:5" ht="13.75" customHeight="1">
      <c r="A116" s="55">
        <v>24473</v>
      </c>
      <c r="B116" s="56">
        <v>198752</v>
      </c>
      <c r="C116" s="49"/>
      <c r="D116" s="49"/>
      <c r="E116" s="49"/>
    </row>
    <row r="117" spans="1:5" ht="13.75" customHeight="1">
      <c r="A117" s="55">
        <v>24838</v>
      </c>
      <c r="B117" s="56">
        <v>200745</v>
      </c>
      <c r="C117" s="49"/>
      <c r="D117" s="49"/>
      <c r="E117" s="49"/>
    </row>
    <row r="118" spans="1:5" ht="13.75" customHeight="1">
      <c r="A118" s="55">
        <v>25204</v>
      </c>
      <c r="B118" s="56">
        <v>202736</v>
      </c>
      <c r="C118" s="49"/>
      <c r="D118" s="49"/>
      <c r="E118" s="49"/>
    </row>
    <row r="119" spans="1:5" ht="13.75" customHeight="1">
      <c r="A119" s="55">
        <v>25569</v>
      </c>
      <c r="B119" s="56">
        <v>205089</v>
      </c>
      <c r="C119" s="49"/>
      <c r="D119" s="49"/>
      <c r="E119" s="49"/>
    </row>
    <row r="120" spans="1:5" ht="13.75" customHeight="1">
      <c r="A120" s="55">
        <v>25934</v>
      </c>
      <c r="B120" s="56">
        <v>207692</v>
      </c>
      <c r="C120" s="49"/>
      <c r="D120" s="49"/>
      <c r="E120" s="49"/>
    </row>
    <row r="121" spans="1:5" ht="13.75" customHeight="1">
      <c r="A121" s="55">
        <v>26299</v>
      </c>
      <c r="B121" s="56">
        <v>209924</v>
      </c>
      <c r="C121" s="49"/>
      <c r="D121" s="49"/>
      <c r="E121" s="49"/>
    </row>
    <row r="122" spans="1:5" ht="13.75" customHeight="1">
      <c r="A122" s="55">
        <v>26665</v>
      </c>
      <c r="B122" s="56">
        <v>211939</v>
      </c>
      <c r="C122" s="49"/>
      <c r="D122" s="49"/>
      <c r="E122" s="49"/>
    </row>
    <row r="123" spans="1:5" ht="13.75" customHeight="1">
      <c r="A123" s="55">
        <v>27030</v>
      </c>
      <c r="B123" s="56">
        <v>213898</v>
      </c>
      <c r="C123" s="49"/>
      <c r="D123" s="49"/>
      <c r="E123" s="49"/>
    </row>
    <row r="124" spans="1:5" ht="13.75" customHeight="1">
      <c r="A124" s="55">
        <v>27395</v>
      </c>
      <c r="B124" s="56">
        <v>215981</v>
      </c>
      <c r="C124" s="49"/>
      <c r="D124" s="49"/>
      <c r="E124" s="49"/>
    </row>
    <row r="125" spans="1:5" ht="13.75" customHeight="1">
      <c r="A125" s="55">
        <v>27760</v>
      </c>
      <c r="B125" s="56">
        <v>218086</v>
      </c>
      <c r="C125" s="49"/>
      <c r="D125" s="49"/>
      <c r="E125" s="49"/>
    </row>
    <row r="126" spans="1:5" ht="13.75" customHeight="1">
      <c r="A126" s="55">
        <v>28126</v>
      </c>
      <c r="B126" s="56">
        <v>220289</v>
      </c>
      <c r="C126" s="49"/>
      <c r="D126" s="49"/>
      <c r="E126" s="49"/>
    </row>
    <row r="127" spans="1:5" ht="13.75" customHeight="1">
      <c r="A127" s="55">
        <v>28491</v>
      </c>
      <c r="B127" s="56">
        <v>222629</v>
      </c>
      <c r="C127" s="49"/>
      <c r="D127" s="49"/>
      <c r="E127" s="49"/>
    </row>
    <row r="128" spans="1:5" ht="13.75" customHeight="1">
      <c r="A128" s="55">
        <v>28856</v>
      </c>
      <c r="B128" s="56">
        <v>225106</v>
      </c>
      <c r="C128" s="49"/>
      <c r="D128" s="49"/>
      <c r="E128" s="49"/>
    </row>
    <row r="129" spans="1:5" ht="13.75" customHeight="1">
      <c r="A129" s="55">
        <v>29221</v>
      </c>
      <c r="B129" s="56">
        <v>227726</v>
      </c>
      <c r="C129" s="49"/>
      <c r="D129" s="49"/>
      <c r="E129" s="49"/>
    </row>
    <row r="130" spans="1:5" ht="13.75" customHeight="1">
      <c r="A130" s="55">
        <v>29587</v>
      </c>
      <c r="B130" s="56">
        <v>230008</v>
      </c>
      <c r="C130" s="49"/>
      <c r="D130" s="49"/>
      <c r="E130" s="49"/>
    </row>
    <row r="131" spans="1:5" ht="13.75" customHeight="1">
      <c r="A131" s="55">
        <v>29952</v>
      </c>
      <c r="B131" s="56">
        <v>232218</v>
      </c>
      <c r="C131" s="49"/>
      <c r="D131" s="49"/>
      <c r="E131" s="49"/>
    </row>
    <row r="132" spans="1:5" ht="13.75" customHeight="1">
      <c r="A132" s="55">
        <v>30317</v>
      </c>
      <c r="B132" s="56">
        <v>234333</v>
      </c>
      <c r="C132" s="49"/>
      <c r="D132" s="49"/>
      <c r="E132" s="49"/>
    </row>
    <row r="133" spans="1:5" ht="13.75" customHeight="1">
      <c r="A133" s="55">
        <v>30682</v>
      </c>
      <c r="B133" s="56">
        <v>236394</v>
      </c>
      <c r="C133" s="49"/>
      <c r="D133" s="49"/>
      <c r="E133" s="49"/>
    </row>
    <row r="134" spans="1:5" ht="13.75" customHeight="1">
      <c r="A134" s="55">
        <v>31048</v>
      </c>
      <c r="B134" s="56">
        <v>238506</v>
      </c>
      <c r="C134" s="49"/>
      <c r="D134" s="49"/>
      <c r="E134" s="49"/>
    </row>
    <row r="135" spans="1:5" ht="13.75" customHeight="1">
      <c r="A135" s="55">
        <v>31413</v>
      </c>
      <c r="B135" s="56">
        <v>240683</v>
      </c>
      <c r="C135" s="49"/>
      <c r="D135" s="49"/>
      <c r="E135" s="49"/>
    </row>
    <row r="136" spans="1:5" ht="13.75" customHeight="1">
      <c r="A136" s="55">
        <v>31778</v>
      </c>
      <c r="B136" s="56">
        <v>242843</v>
      </c>
      <c r="C136" s="49"/>
      <c r="D136" s="49"/>
      <c r="E136" s="49"/>
    </row>
    <row r="137" spans="1:5" ht="13.75" customHeight="1">
      <c r="A137" s="55">
        <v>32143</v>
      </c>
      <c r="B137" s="56">
        <v>245061</v>
      </c>
      <c r="C137" s="49"/>
      <c r="D137" s="49"/>
      <c r="E137" s="49"/>
    </row>
    <row r="138" spans="1:5" ht="13.75" customHeight="1">
      <c r="A138" s="55">
        <v>32509</v>
      </c>
      <c r="B138" s="56">
        <v>247387</v>
      </c>
      <c r="C138" s="49"/>
      <c r="D138" s="49"/>
      <c r="E138" s="49"/>
    </row>
    <row r="139" spans="1:5" ht="13.75" customHeight="1">
      <c r="A139" s="55">
        <v>32874</v>
      </c>
      <c r="B139" s="56">
        <v>250181</v>
      </c>
      <c r="C139" s="49"/>
      <c r="D139" s="49"/>
      <c r="E139" s="49"/>
    </row>
    <row r="140" spans="1:5" ht="13.75" customHeight="1">
      <c r="A140" s="55">
        <v>33239</v>
      </c>
      <c r="B140" s="56">
        <v>253530</v>
      </c>
      <c r="C140" s="49"/>
      <c r="D140" s="49"/>
      <c r="E140" s="49"/>
    </row>
    <row r="141" spans="1:5" ht="13.75" customHeight="1">
      <c r="A141" s="55">
        <v>33604</v>
      </c>
      <c r="B141" s="56">
        <v>256922</v>
      </c>
      <c r="C141" s="49"/>
      <c r="D141" s="49"/>
      <c r="E141" s="49"/>
    </row>
    <row r="142" spans="1:5" ht="13.75" customHeight="1">
      <c r="A142" s="55">
        <v>33970</v>
      </c>
      <c r="B142" s="56">
        <v>260282</v>
      </c>
      <c r="C142" s="49"/>
      <c r="D142" s="49"/>
      <c r="E142" s="49"/>
    </row>
    <row r="143" spans="1:5" ht="13.75" customHeight="1">
      <c r="A143" s="55">
        <v>34335</v>
      </c>
      <c r="B143" s="56">
        <v>263455</v>
      </c>
      <c r="C143" s="49"/>
      <c r="D143" s="49"/>
      <c r="E143" s="49"/>
    </row>
    <row r="144" spans="1:5" ht="13.75" customHeight="1">
      <c r="A144" s="55">
        <v>34700</v>
      </c>
      <c r="B144" s="56">
        <v>266588</v>
      </c>
      <c r="C144" s="49"/>
      <c r="D144" s="49"/>
      <c r="E144" s="49"/>
    </row>
    <row r="145" spans="1:5" ht="13.75" customHeight="1">
      <c r="A145" s="55">
        <v>35065</v>
      </c>
      <c r="B145" s="56">
        <v>269714</v>
      </c>
      <c r="C145" s="49"/>
      <c r="D145" s="49"/>
      <c r="E145" s="49"/>
    </row>
    <row r="146" spans="1:5" ht="13.75" customHeight="1">
      <c r="A146" s="55">
        <v>35431</v>
      </c>
      <c r="B146" s="56">
        <v>272958</v>
      </c>
      <c r="C146" s="49"/>
      <c r="D146" s="49"/>
      <c r="E146" s="49"/>
    </row>
    <row r="147" spans="1:5" ht="13.75" customHeight="1">
      <c r="A147" s="55">
        <v>35796</v>
      </c>
      <c r="B147" s="56">
        <v>276154</v>
      </c>
      <c r="C147" s="49"/>
      <c r="D147" s="49"/>
      <c r="E147" s="49"/>
    </row>
    <row r="148" spans="1:5" ht="13.75" customHeight="1">
      <c r="A148" s="55">
        <v>36161</v>
      </c>
      <c r="B148" s="56">
        <v>279328</v>
      </c>
      <c r="C148" s="49"/>
      <c r="D148" s="49"/>
      <c r="E148" s="49"/>
    </row>
    <row r="149" spans="1:5" ht="13.75" customHeight="1">
      <c r="A149" s="55">
        <v>36526</v>
      </c>
      <c r="B149" s="56">
        <v>282398</v>
      </c>
      <c r="C149" s="49"/>
      <c r="D149" s="49"/>
      <c r="E149" s="49"/>
    </row>
    <row r="150" spans="1:5" ht="13.75" customHeight="1">
      <c r="A150" s="55">
        <v>36892</v>
      </c>
      <c r="B150" s="56">
        <v>285225</v>
      </c>
      <c r="C150" s="49"/>
      <c r="D150" s="49"/>
      <c r="E150" s="49"/>
    </row>
    <row r="151" spans="1:5" ht="13.75" customHeight="1">
      <c r="A151" s="55">
        <v>37257</v>
      </c>
      <c r="B151" s="56">
        <v>287955</v>
      </c>
      <c r="C151" s="49"/>
      <c r="D151" s="49"/>
      <c r="E151" s="49"/>
    </row>
    <row r="152" spans="1:5" ht="13.75" customHeight="1">
      <c r="A152" s="55">
        <v>37622</v>
      </c>
      <c r="B152" s="56">
        <v>290626</v>
      </c>
      <c r="C152" s="49"/>
      <c r="D152" s="49"/>
      <c r="E152" s="49"/>
    </row>
    <row r="153" spans="1:5" ht="13.75" customHeight="1">
      <c r="A153" s="55">
        <v>37987</v>
      </c>
      <c r="B153" s="56">
        <v>293262</v>
      </c>
      <c r="C153" s="49"/>
      <c r="D153" s="49"/>
      <c r="E153" s="49"/>
    </row>
    <row r="154" spans="1:5" ht="13.75" customHeight="1">
      <c r="A154" s="55">
        <v>38353</v>
      </c>
      <c r="B154" s="56">
        <v>295993</v>
      </c>
      <c r="C154" s="49"/>
      <c r="D154" s="49"/>
      <c r="E154" s="49"/>
    </row>
    <row r="155" spans="1:5" ht="13.75" customHeight="1">
      <c r="A155" s="55">
        <v>38718</v>
      </c>
      <c r="B155" s="56">
        <v>298818</v>
      </c>
      <c r="C155" s="49"/>
      <c r="D155" s="49"/>
      <c r="E155" s="49"/>
    </row>
    <row r="156" spans="1:5" ht="13.75" customHeight="1">
      <c r="A156" s="55">
        <v>39083</v>
      </c>
      <c r="B156" s="56">
        <v>301696</v>
      </c>
      <c r="C156" s="49"/>
      <c r="D156" s="49"/>
      <c r="E156" s="49"/>
    </row>
    <row r="157" spans="1:5" ht="13.75" customHeight="1">
      <c r="A157" s="55">
        <v>39448</v>
      </c>
      <c r="B157" s="56">
        <v>304543</v>
      </c>
      <c r="C157" s="49"/>
      <c r="D157" s="49"/>
      <c r="E157" s="49"/>
    </row>
    <row r="158" spans="1:5" ht="13.75" customHeight="1">
      <c r="A158" s="201">
        <v>39814</v>
      </c>
      <c r="B158" s="202">
        <v>307240</v>
      </c>
      <c r="C158" s="157"/>
      <c r="D158" s="157"/>
      <c r="E158" s="157"/>
    </row>
    <row r="159" spans="1:5" ht="13.75" customHeight="1">
      <c r="A159" s="203">
        <v>40179</v>
      </c>
      <c r="B159" s="204">
        <v>309839</v>
      </c>
      <c r="C159" s="205"/>
      <c r="D159" s="205"/>
      <c r="E159" s="205"/>
    </row>
    <row r="160" spans="1:5" ht="13.75" customHeight="1">
      <c r="A160" s="203">
        <v>40544</v>
      </c>
      <c r="B160" s="204">
        <v>312295</v>
      </c>
      <c r="C160" s="205"/>
      <c r="D160" s="205"/>
      <c r="E160" s="205"/>
    </row>
    <row r="161" spans="1:5" ht="13.75" customHeight="1">
      <c r="A161" s="203">
        <v>40909</v>
      </c>
      <c r="B161" s="204">
        <v>314725</v>
      </c>
      <c r="C161" s="205"/>
      <c r="D161" s="205"/>
      <c r="E161" s="205"/>
    </row>
    <row r="162" spans="1:5" ht="13.75" customHeight="1">
      <c r="A162" s="203">
        <v>41275</v>
      </c>
      <c r="B162" s="204">
        <v>317099</v>
      </c>
      <c r="C162" s="205"/>
      <c r="D162" s="205"/>
      <c r="E162" s="205"/>
    </row>
    <row r="163" spans="1:5" ht="13.75" customHeight="1">
      <c r="A163" s="203">
        <v>41640</v>
      </c>
      <c r="B163" s="204">
        <v>319601</v>
      </c>
      <c r="C163" s="205"/>
      <c r="D163" s="205"/>
      <c r="E163" s="205"/>
    </row>
    <row r="164" spans="1:5" ht="13.75" customHeight="1">
      <c r="A164" s="203">
        <v>42005</v>
      </c>
      <c r="B164" s="204">
        <v>322113</v>
      </c>
      <c r="C164" s="205"/>
      <c r="D164" s="205"/>
      <c r="E164" s="205"/>
    </row>
    <row r="165" spans="1:5" ht="13.75" customHeight="1">
      <c r="A165" s="203">
        <v>42370</v>
      </c>
      <c r="B165" s="204">
        <v>324609</v>
      </c>
      <c r="C165" s="205"/>
      <c r="D165" s="205"/>
      <c r="E165" s="205"/>
    </row>
    <row r="166" spans="1:5" ht="13.75" customHeight="1">
      <c r="A166" s="203">
        <v>42736</v>
      </c>
      <c r="B166" s="204">
        <v>326860</v>
      </c>
      <c r="C166" s="205"/>
      <c r="D166" s="205"/>
      <c r="E166" s="205"/>
    </row>
    <row r="167" spans="1:5" ht="13.75" customHeight="1">
      <c r="A167" s="203">
        <v>43101</v>
      </c>
      <c r="B167" s="204">
        <v>328794</v>
      </c>
      <c r="C167" s="205"/>
      <c r="D167" s="205"/>
      <c r="E167" s="205"/>
    </row>
    <row r="168" spans="1:5" ht="13.75" customHeight="1">
      <c r="A168" s="203">
        <v>43466</v>
      </c>
      <c r="B168" s="204">
        <v>330513</v>
      </c>
      <c r="C168" s="205"/>
      <c r="D168" s="205"/>
      <c r="E168" s="205"/>
    </row>
    <row r="169" spans="1:5" ht="13.75" customHeight="1">
      <c r="A169" s="203">
        <v>43831</v>
      </c>
      <c r="B169" s="204">
        <v>331788</v>
      </c>
      <c r="C169" s="205"/>
      <c r="D169" s="205"/>
      <c r="E169" s="205"/>
    </row>
    <row r="170" spans="1:5" ht="13.75" customHeight="1">
      <c r="A170" s="203">
        <v>44197</v>
      </c>
      <c r="B170" s="204">
        <v>332351</v>
      </c>
      <c r="C170" s="205"/>
      <c r="D170" s="205"/>
      <c r="E170" s="205"/>
    </row>
    <row r="171" spans="1:5" ht="13" customHeight="1">
      <c r="A171" s="203">
        <v>44563</v>
      </c>
      <c r="B171" s="204">
        <v>333595</v>
      </c>
      <c r="C171" s="206"/>
      <c r="D171" s="206"/>
      <c r="E171" s="206"/>
    </row>
    <row r="172" spans="1:5" ht="13" customHeight="1">
      <c r="A172" s="206"/>
      <c r="B172" s="206"/>
      <c r="C172" s="206"/>
      <c r="D172" s="206"/>
      <c r="E172" s="206"/>
    </row>
  </sheetData>
  <pageMargins left="0.7" right="0.7" top="0.75" bottom="0.75" header="0.3" footer="0.3"/>
  <pageSetup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5"/>
  <sheetViews>
    <sheetView showGridLines="0" workbookViewId="0"/>
  </sheetViews>
  <sheetFormatPr baseColWidth="10" defaultColWidth="8.83203125" defaultRowHeight="13" customHeight="1"/>
  <cols>
    <col min="1" max="1" width="8.83203125" style="4" customWidth="1"/>
    <col min="2" max="2" width="11.5" style="4" customWidth="1"/>
    <col min="3" max="3" width="12.5" style="4" customWidth="1"/>
    <col min="4" max="4" width="12.6640625" style="4" customWidth="1"/>
    <col min="5" max="5" width="11.5" style="4" customWidth="1"/>
    <col min="6" max="7" width="14.5" style="4" customWidth="1"/>
    <col min="8" max="8" width="15.1640625" style="4" customWidth="1"/>
    <col min="9" max="9" width="14.5" style="4" customWidth="1"/>
    <col min="10" max="11" width="10.5" style="4" customWidth="1"/>
    <col min="12" max="12" width="8.83203125" style="4" customWidth="1"/>
    <col min="13" max="16384" width="8.83203125" style="4"/>
  </cols>
  <sheetData>
    <row r="1" spans="1:11" ht="16" customHeight="1">
      <c r="A1" s="57" t="s">
        <v>219</v>
      </c>
      <c r="B1" s="49"/>
      <c r="C1" s="49"/>
      <c r="D1" s="49"/>
      <c r="E1" s="49"/>
      <c r="F1" s="49"/>
      <c r="G1" s="49"/>
      <c r="H1" s="49"/>
      <c r="I1" s="49"/>
      <c r="J1" s="49"/>
      <c r="K1" s="49"/>
    </row>
    <row r="2" spans="1:11" ht="16" customHeight="1">
      <c r="A2" s="57" t="s">
        <v>220</v>
      </c>
      <c r="B2" s="49"/>
      <c r="C2" s="49"/>
      <c r="D2" s="49"/>
      <c r="E2" s="49"/>
      <c r="F2" s="49"/>
      <c r="G2" s="49"/>
      <c r="H2" s="49"/>
      <c r="I2" s="49"/>
      <c r="J2" s="49"/>
      <c r="K2" s="49"/>
    </row>
    <row r="3" spans="1:11" ht="16" customHeight="1">
      <c r="A3" s="57" t="s">
        <v>221</v>
      </c>
      <c r="B3" s="49"/>
      <c r="C3" s="49"/>
      <c r="D3" s="49"/>
      <c r="E3" s="49"/>
      <c r="F3" s="49"/>
      <c r="G3" s="49"/>
      <c r="H3" s="49"/>
      <c r="I3" s="49"/>
      <c r="J3" s="49"/>
      <c r="K3" s="49"/>
    </row>
    <row r="4" spans="1:11" ht="16" customHeight="1">
      <c r="A4" s="58"/>
      <c r="B4" s="49"/>
      <c r="C4" s="58"/>
      <c r="D4" s="58"/>
      <c r="E4" s="58"/>
      <c r="F4" s="58"/>
      <c r="G4" s="58"/>
      <c r="H4" s="58"/>
      <c r="I4" s="58"/>
      <c r="J4" s="58"/>
      <c r="K4" s="58"/>
    </row>
    <row r="5" spans="1:11" ht="16" customHeight="1">
      <c r="A5" s="57" t="s">
        <v>222</v>
      </c>
      <c r="B5" s="49"/>
      <c r="C5" s="58"/>
      <c r="D5" s="58"/>
      <c r="E5" s="58"/>
      <c r="F5" s="58"/>
      <c r="G5" s="58"/>
      <c r="H5" s="58"/>
      <c r="I5" s="58"/>
      <c r="J5" s="58"/>
      <c r="K5" s="58"/>
    </row>
    <row r="6" spans="1:11" ht="16" customHeight="1">
      <c r="A6" s="49"/>
      <c r="B6" s="58"/>
      <c r="C6" s="58"/>
      <c r="D6" s="58"/>
      <c r="E6" s="58"/>
      <c r="F6" s="58"/>
      <c r="G6" s="58"/>
      <c r="H6" s="58"/>
      <c r="I6" s="58"/>
      <c r="J6" s="58"/>
      <c r="K6" s="58"/>
    </row>
    <row r="7" spans="1:11" ht="16" customHeight="1">
      <c r="A7" s="49"/>
      <c r="B7" s="59"/>
      <c r="C7" s="231" t="s">
        <v>223</v>
      </c>
      <c r="D7" s="232"/>
      <c r="E7" s="232"/>
      <c r="F7" s="232"/>
      <c r="G7" s="231" t="s">
        <v>224</v>
      </c>
      <c r="H7" s="232"/>
      <c r="I7" s="232"/>
      <c r="J7" s="231" t="s">
        <v>225</v>
      </c>
      <c r="K7" s="232"/>
    </row>
    <row r="8" spans="1:11" ht="51" customHeight="1">
      <c r="A8" s="60" t="s">
        <v>105</v>
      </c>
      <c r="B8" s="60" t="s">
        <v>226</v>
      </c>
      <c r="C8" s="60" t="s">
        <v>227</v>
      </c>
      <c r="D8" s="60" t="s">
        <v>228</v>
      </c>
      <c r="E8" s="60" t="s">
        <v>229</v>
      </c>
      <c r="F8" s="60" t="s">
        <v>223</v>
      </c>
      <c r="G8" s="60" t="s">
        <v>230</v>
      </c>
      <c r="H8" s="60" t="s">
        <v>231</v>
      </c>
      <c r="I8" s="60" t="s">
        <v>224</v>
      </c>
      <c r="J8" s="60" t="s">
        <v>232</v>
      </c>
      <c r="K8" s="60" t="s">
        <v>233</v>
      </c>
    </row>
    <row r="9" spans="1:11" ht="16" customHeight="1">
      <c r="A9" s="62">
        <v>1799</v>
      </c>
      <c r="B9" s="63">
        <v>1800</v>
      </c>
      <c r="C9" s="64">
        <v>206431</v>
      </c>
      <c r="D9" s="64">
        <v>21559</v>
      </c>
      <c r="E9" s="64">
        <v>209581</v>
      </c>
      <c r="F9" s="64">
        <v>437571</v>
      </c>
      <c r="G9" s="64">
        <v>10003</v>
      </c>
      <c r="H9" s="64">
        <v>72027</v>
      </c>
      <c r="I9" s="64">
        <v>519601</v>
      </c>
      <c r="J9" s="64">
        <v>514</v>
      </c>
      <c r="K9" s="64">
        <v>432</v>
      </c>
    </row>
    <row r="10" spans="1:11" ht="16" customHeight="1">
      <c r="A10" s="62">
        <v>1809</v>
      </c>
      <c r="B10" s="63">
        <v>1810</v>
      </c>
      <c r="C10" s="64">
        <v>292599</v>
      </c>
      <c r="D10" s="64">
        <v>36033</v>
      </c>
      <c r="E10" s="64">
        <v>349293</v>
      </c>
      <c r="F10" s="64">
        <v>677925</v>
      </c>
      <c r="G10" s="64">
        <v>18627</v>
      </c>
      <c r="H10" s="64">
        <v>118272</v>
      </c>
      <c r="I10" s="64">
        <v>814824</v>
      </c>
      <c r="J10" s="64">
        <v>809</v>
      </c>
      <c r="K10" s="64">
        <v>672</v>
      </c>
    </row>
    <row r="11" spans="1:11" ht="16" customHeight="1">
      <c r="A11" s="62">
        <v>1819</v>
      </c>
      <c r="B11" s="63">
        <v>1820</v>
      </c>
      <c r="C11" s="64">
        <v>290847</v>
      </c>
      <c r="D11" s="64">
        <v>50293</v>
      </c>
      <c r="E11" s="64">
        <v>375101</v>
      </c>
      <c r="F11" s="64">
        <v>716241</v>
      </c>
      <c r="G11" s="64">
        <v>21705</v>
      </c>
      <c r="H11" s="64">
        <v>119574</v>
      </c>
      <c r="I11" s="64">
        <v>857520</v>
      </c>
      <c r="J11" s="64">
        <v>852</v>
      </c>
      <c r="K11" s="64">
        <v>711</v>
      </c>
    </row>
    <row r="12" spans="1:11" ht="16" customHeight="1">
      <c r="A12" s="62">
        <v>1829</v>
      </c>
      <c r="B12" s="63">
        <v>1830</v>
      </c>
      <c r="C12" s="64">
        <v>401877</v>
      </c>
      <c r="D12" s="64">
        <v>74465</v>
      </c>
      <c r="E12" s="64">
        <v>447009</v>
      </c>
      <c r="F12" s="64">
        <v>923351</v>
      </c>
      <c r="G12" s="64">
        <v>24068</v>
      </c>
      <c r="H12" s="64">
        <v>138368</v>
      </c>
      <c r="I12" s="64">
        <v>1085787</v>
      </c>
      <c r="J12" s="64">
        <v>1081</v>
      </c>
      <c r="K12" s="64">
        <v>919</v>
      </c>
    </row>
    <row r="13" spans="1:11" ht="16" customHeight="1">
      <c r="A13" s="62">
        <v>1839</v>
      </c>
      <c r="B13" s="63">
        <v>1840</v>
      </c>
      <c r="C13" s="64">
        <v>634100</v>
      </c>
      <c r="D13" s="64">
        <v>166064</v>
      </c>
      <c r="E13" s="64">
        <v>752836</v>
      </c>
      <c r="F13" s="64">
        <v>1553000</v>
      </c>
      <c r="G13" s="64">
        <v>39700</v>
      </c>
      <c r="H13" s="64">
        <v>137000</v>
      </c>
      <c r="I13" s="64">
        <v>1729700</v>
      </c>
      <c r="J13" s="64">
        <v>1717</v>
      </c>
      <c r="K13" s="64">
        <v>1540</v>
      </c>
    </row>
    <row r="14" spans="1:11" ht="16" customHeight="1">
      <c r="A14" s="62">
        <v>1849</v>
      </c>
      <c r="B14" s="63">
        <v>1850</v>
      </c>
      <c r="C14" s="64">
        <v>747000</v>
      </c>
      <c r="D14" s="64">
        <v>205162</v>
      </c>
      <c r="E14" s="64">
        <v>1375838</v>
      </c>
      <c r="F14" s="64">
        <v>2328000</v>
      </c>
      <c r="G14" s="64">
        <v>64300</v>
      </c>
      <c r="H14" s="64">
        <v>145000</v>
      </c>
      <c r="I14" s="64">
        <v>2537300</v>
      </c>
      <c r="J14" s="64">
        <v>2529</v>
      </c>
      <c r="K14" s="64">
        <v>2320</v>
      </c>
    </row>
    <row r="15" spans="1:11" ht="16" customHeight="1">
      <c r="A15" s="62">
        <v>1859</v>
      </c>
      <c r="B15" s="63">
        <v>1860</v>
      </c>
      <c r="C15" s="64">
        <v>1398000</v>
      </c>
      <c r="D15" s="64">
        <v>340057</v>
      </c>
      <c r="E15" s="64">
        <v>2441943</v>
      </c>
      <c r="F15" s="64">
        <v>4180000</v>
      </c>
      <c r="G15" s="64">
        <v>87300</v>
      </c>
      <c r="H15" s="64">
        <v>218000</v>
      </c>
      <c r="I15" s="64">
        <v>4485300</v>
      </c>
      <c r="J15" s="64">
        <v>4476</v>
      </c>
      <c r="K15" s="64">
        <v>4171</v>
      </c>
    </row>
    <row r="16" spans="1:11" ht="16" customHeight="1">
      <c r="A16" s="49"/>
      <c r="B16" s="58"/>
      <c r="C16" s="58"/>
      <c r="D16" s="58"/>
      <c r="E16" s="58"/>
      <c r="F16" s="58"/>
      <c r="G16" s="58"/>
      <c r="H16" s="58"/>
      <c r="I16" s="49"/>
      <c r="J16" s="49"/>
      <c r="K16" s="49"/>
    </row>
    <row r="17" spans="1:11" ht="16" customHeight="1">
      <c r="A17" s="57" t="s">
        <v>234</v>
      </c>
      <c r="B17" s="49"/>
      <c r="C17" s="58"/>
      <c r="D17" s="58"/>
      <c r="E17" s="58"/>
      <c r="F17" s="58"/>
      <c r="G17" s="58"/>
      <c r="H17" s="58"/>
      <c r="I17" s="49"/>
      <c r="J17" s="49"/>
      <c r="K17" s="49"/>
    </row>
    <row r="18" spans="1:11" ht="16" customHeight="1">
      <c r="A18" s="49"/>
      <c r="B18" s="59"/>
      <c r="C18" s="231" t="s">
        <v>223</v>
      </c>
      <c r="D18" s="232"/>
      <c r="E18" s="232"/>
      <c r="F18" s="232"/>
      <c r="G18" s="231" t="s">
        <v>224</v>
      </c>
      <c r="H18" s="232"/>
      <c r="I18" s="232"/>
      <c r="J18" s="231" t="s">
        <v>225</v>
      </c>
      <c r="K18" s="232"/>
    </row>
    <row r="19" spans="1:11" ht="51" customHeight="1">
      <c r="A19" s="60" t="s">
        <v>105</v>
      </c>
      <c r="B19" s="60" t="s">
        <v>226</v>
      </c>
      <c r="C19" s="60" t="s">
        <v>227</v>
      </c>
      <c r="D19" s="60" t="s">
        <v>228</v>
      </c>
      <c r="E19" s="60" t="s">
        <v>229</v>
      </c>
      <c r="F19" s="60" t="s">
        <v>223</v>
      </c>
      <c r="G19" s="60" t="s">
        <v>230</v>
      </c>
      <c r="H19" s="60" t="s">
        <v>231</v>
      </c>
      <c r="I19" s="60" t="s">
        <v>224</v>
      </c>
      <c r="J19" s="60" t="s">
        <v>232</v>
      </c>
      <c r="K19" s="60" t="s">
        <v>233</v>
      </c>
    </row>
    <row r="20" spans="1:11" ht="16" customHeight="1">
      <c r="A20" s="62">
        <v>1799</v>
      </c>
      <c r="B20" s="63">
        <v>1800</v>
      </c>
      <c r="C20" s="65">
        <v>114</v>
      </c>
      <c r="D20" s="65">
        <v>74</v>
      </c>
      <c r="E20" s="65">
        <v>147</v>
      </c>
      <c r="F20" s="66">
        <v>124</v>
      </c>
      <c r="G20" s="65">
        <v>77</v>
      </c>
      <c r="H20" s="65">
        <v>159</v>
      </c>
      <c r="I20" s="65">
        <v>126</v>
      </c>
      <c r="J20" s="49"/>
      <c r="K20" s="49"/>
    </row>
    <row r="21" spans="1:11" ht="16" customHeight="1">
      <c r="A21" s="62">
        <v>1809</v>
      </c>
      <c r="B21" s="63">
        <v>1810</v>
      </c>
      <c r="C21" s="65">
        <v>119</v>
      </c>
      <c r="D21" s="65">
        <v>86</v>
      </c>
      <c r="E21" s="65">
        <v>159</v>
      </c>
      <c r="F21" s="66">
        <v>134</v>
      </c>
      <c r="G21" s="65">
        <v>88</v>
      </c>
      <c r="H21" s="65">
        <v>192</v>
      </c>
      <c r="I21" s="65">
        <v>138</v>
      </c>
      <c r="J21" s="49"/>
      <c r="K21" s="49"/>
    </row>
    <row r="22" spans="1:11" ht="16" customHeight="1">
      <c r="A22" s="62">
        <v>1819</v>
      </c>
      <c r="B22" s="63">
        <v>1820</v>
      </c>
      <c r="C22" s="65">
        <v>88</v>
      </c>
      <c r="D22" s="65">
        <v>83</v>
      </c>
      <c r="E22" s="65">
        <v>122</v>
      </c>
      <c r="F22" s="66">
        <v>103</v>
      </c>
      <c r="G22" s="65">
        <v>82</v>
      </c>
      <c r="H22" s="65">
        <v>146</v>
      </c>
      <c r="I22" s="65">
        <v>106</v>
      </c>
      <c r="J22" s="49"/>
      <c r="K22" s="49"/>
    </row>
    <row r="23" spans="1:11" ht="16" customHeight="1">
      <c r="A23" s="62">
        <v>1829</v>
      </c>
      <c r="B23" s="63">
        <v>1830</v>
      </c>
      <c r="C23" s="65">
        <v>88</v>
      </c>
      <c r="D23" s="65">
        <v>74</v>
      </c>
      <c r="E23" s="65">
        <v>96</v>
      </c>
      <c r="F23" s="66">
        <v>90</v>
      </c>
      <c r="G23" s="65">
        <v>75</v>
      </c>
      <c r="H23" s="65">
        <v>128</v>
      </c>
      <c r="I23" s="65">
        <v>93</v>
      </c>
      <c r="J23" s="49"/>
      <c r="K23" s="49"/>
    </row>
    <row r="24" spans="1:11" ht="16" customHeight="1">
      <c r="A24" s="62">
        <v>1839</v>
      </c>
      <c r="B24" s="63">
        <v>1840</v>
      </c>
      <c r="C24" s="65">
        <v>100</v>
      </c>
      <c r="D24" s="65">
        <v>100</v>
      </c>
      <c r="E24" s="65">
        <v>100</v>
      </c>
      <c r="F24" s="66">
        <v>100</v>
      </c>
      <c r="G24" s="65">
        <v>100</v>
      </c>
      <c r="H24" s="65">
        <v>100</v>
      </c>
      <c r="I24" s="65">
        <v>100</v>
      </c>
      <c r="J24" s="49"/>
      <c r="K24" s="49"/>
    </row>
    <row r="25" spans="1:11" ht="16" customHeight="1">
      <c r="A25" s="62">
        <v>1849</v>
      </c>
      <c r="B25" s="63">
        <v>1850</v>
      </c>
      <c r="C25" s="65">
        <v>95</v>
      </c>
      <c r="D25" s="65">
        <v>98</v>
      </c>
      <c r="E25" s="65">
        <v>104</v>
      </c>
      <c r="F25" s="66">
        <v>100</v>
      </c>
      <c r="G25" s="65">
        <v>110</v>
      </c>
      <c r="H25" s="65">
        <v>75</v>
      </c>
      <c r="I25" s="65">
        <v>99</v>
      </c>
      <c r="J25" s="49"/>
      <c r="K25" s="49"/>
    </row>
    <row r="26" spans="1:11" ht="16" customHeight="1">
      <c r="A26" s="62">
        <v>1859</v>
      </c>
      <c r="B26" s="63">
        <v>1860</v>
      </c>
      <c r="C26" s="65">
        <v>110</v>
      </c>
      <c r="D26" s="65">
        <v>109</v>
      </c>
      <c r="E26" s="65">
        <v>105</v>
      </c>
      <c r="F26" s="66">
        <v>107</v>
      </c>
      <c r="G26" s="65">
        <v>136</v>
      </c>
      <c r="H26" s="65">
        <v>86</v>
      </c>
      <c r="I26" s="65">
        <v>106</v>
      </c>
      <c r="J26" s="49"/>
      <c r="K26" s="49"/>
    </row>
    <row r="27" spans="1:11" ht="16" customHeight="1">
      <c r="A27" s="49"/>
      <c r="B27" s="58"/>
      <c r="C27" s="58"/>
      <c r="D27" s="67"/>
      <c r="E27" s="67"/>
      <c r="F27" s="67"/>
      <c r="G27" s="67"/>
      <c r="H27" s="67"/>
      <c r="I27" s="49"/>
      <c r="J27" s="49"/>
      <c r="K27" s="49"/>
    </row>
    <row r="28" spans="1:11" ht="13" customHeight="1">
      <c r="A28" s="49"/>
      <c r="B28" s="49"/>
      <c r="C28" s="49"/>
      <c r="D28" s="49"/>
      <c r="E28" s="49"/>
      <c r="F28" s="49"/>
      <c r="G28" s="49"/>
      <c r="H28" s="49"/>
      <c r="I28" s="49"/>
      <c r="J28" s="49"/>
      <c r="K28" s="49"/>
    </row>
    <row r="29" spans="1:11" ht="13" customHeight="1">
      <c r="A29" s="49"/>
      <c r="B29" s="49"/>
      <c r="C29" s="49"/>
      <c r="D29" s="49"/>
      <c r="E29" s="49"/>
      <c r="F29" s="49"/>
      <c r="G29" s="49"/>
      <c r="H29" s="49"/>
      <c r="I29" s="49"/>
      <c r="J29" s="49"/>
      <c r="K29" s="49"/>
    </row>
    <row r="30" spans="1:11" ht="13" customHeight="1">
      <c r="A30" s="49"/>
      <c r="B30" s="49"/>
      <c r="C30" s="49"/>
      <c r="D30" s="49"/>
      <c r="E30" s="49"/>
      <c r="F30" s="49"/>
      <c r="G30" s="49"/>
      <c r="H30" s="49"/>
      <c r="I30" s="49"/>
      <c r="J30" s="49"/>
      <c r="K30" s="49"/>
    </row>
    <row r="31" spans="1:11" ht="13" customHeight="1">
      <c r="A31" s="49"/>
      <c r="B31" s="49"/>
      <c r="C31" s="49"/>
      <c r="D31" s="49"/>
      <c r="E31" s="49"/>
      <c r="F31" s="49"/>
      <c r="G31" s="49"/>
      <c r="H31" s="49"/>
      <c r="I31" s="49"/>
      <c r="J31" s="49"/>
      <c r="K31" s="49"/>
    </row>
    <row r="32" spans="1:11" ht="13" customHeight="1">
      <c r="A32" s="49"/>
      <c r="B32" s="49"/>
      <c r="C32" s="49"/>
      <c r="D32" s="49"/>
      <c r="E32" s="49"/>
      <c r="F32" s="49"/>
      <c r="G32" s="49"/>
      <c r="H32" s="49"/>
      <c r="I32" s="49"/>
      <c r="J32" s="49"/>
      <c r="K32" s="49"/>
    </row>
    <row r="33" spans="1:11" ht="13" customHeight="1">
      <c r="A33" s="49"/>
      <c r="B33" s="49"/>
      <c r="C33" s="49"/>
      <c r="D33" s="49"/>
      <c r="E33" s="49"/>
      <c r="F33" s="49"/>
      <c r="G33" s="49"/>
      <c r="H33" s="49"/>
      <c r="I33" s="49"/>
      <c r="J33" s="49"/>
      <c r="K33" s="49"/>
    </row>
    <row r="34" spans="1:11" ht="13" customHeight="1">
      <c r="A34" s="49"/>
      <c r="B34" s="49"/>
      <c r="C34" s="49"/>
      <c r="D34" s="49"/>
      <c r="E34" s="49"/>
      <c r="F34" s="49"/>
      <c r="G34" s="49"/>
      <c r="H34" s="49"/>
      <c r="I34" s="49"/>
      <c r="J34" s="49"/>
      <c r="K34" s="49"/>
    </row>
    <row r="35" spans="1:11" ht="13" customHeight="1">
      <c r="A35" s="49"/>
      <c r="B35" s="49"/>
      <c r="C35" s="49"/>
      <c r="D35" s="49"/>
      <c r="E35" s="49"/>
      <c r="F35" s="49"/>
      <c r="G35" s="49"/>
      <c r="H35" s="49"/>
      <c r="I35" s="49"/>
      <c r="J35" s="49"/>
      <c r="K35" s="49"/>
    </row>
    <row r="36" spans="1:11" ht="13" customHeight="1">
      <c r="A36" s="49"/>
      <c r="B36" s="49"/>
      <c r="C36" s="49"/>
      <c r="D36" s="49"/>
      <c r="E36" s="49"/>
      <c r="F36" s="49"/>
      <c r="G36" s="49"/>
      <c r="H36" s="49"/>
      <c r="I36" s="49"/>
      <c r="J36" s="49"/>
      <c r="K36" s="49"/>
    </row>
    <row r="37" spans="1:11" ht="13" customHeight="1">
      <c r="A37" s="49"/>
      <c r="B37" s="49"/>
      <c r="C37" s="49"/>
      <c r="D37" s="49"/>
      <c r="E37" s="49"/>
      <c r="F37" s="49"/>
      <c r="G37" s="49"/>
      <c r="H37" s="49"/>
      <c r="I37" s="49"/>
      <c r="J37" s="49"/>
      <c r="K37" s="49"/>
    </row>
    <row r="38" spans="1:11" ht="13" customHeight="1">
      <c r="A38" s="49"/>
      <c r="B38" s="49"/>
      <c r="C38" s="49"/>
      <c r="D38" s="49"/>
      <c r="E38" s="49"/>
      <c r="F38" s="49"/>
      <c r="G38" s="49"/>
      <c r="H38" s="49"/>
      <c r="I38" s="49"/>
      <c r="J38" s="49"/>
      <c r="K38" s="49"/>
    </row>
    <row r="39" spans="1:11" ht="13" customHeight="1">
      <c r="A39" s="49"/>
      <c r="B39" s="49"/>
      <c r="C39" s="49"/>
      <c r="D39" s="49"/>
      <c r="E39" s="49"/>
      <c r="F39" s="49"/>
      <c r="G39" s="49"/>
      <c r="H39" s="49"/>
      <c r="I39" s="49"/>
      <c r="J39" s="49"/>
      <c r="K39" s="49"/>
    </row>
    <row r="40" spans="1:11" ht="13" customHeight="1">
      <c r="A40" s="49"/>
      <c r="B40" s="49"/>
      <c r="C40" s="49"/>
      <c r="D40" s="49"/>
      <c r="E40" s="49"/>
      <c r="F40" s="49"/>
      <c r="G40" s="49"/>
      <c r="H40" s="49"/>
      <c r="I40" s="49"/>
      <c r="J40" s="49"/>
      <c r="K40" s="49"/>
    </row>
    <row r="41" spans="1:11" ht="13" customHeight="1">
      <c r="A41" s="49"/>
      <c r="B41" s="49"/>
      <c r="C41" s="49"/>
      <c r="D41" s="49"/>
      <c r="E41" s="49"/>
      <c r="F41" s="49"/>
      <c r="G41" s="49"/>
      <c r="H41" s="49"/>
      <c r="I41" s="49"/>
      <c r="J41" s="49"/>
      <c r="K41" s="49"/>
    </row>
    <row r="42" spans="1:11" ht="13" customHeight="1">
      <c r="A42" s="49"/>
      <c r="B42" s="49"/>
      <c r="C42" s="49"/>
      <c r="D42" s="49"/>
      <c r="E42" s="49"/>
      <c r="F42" s="49"/>
      <c r="G42" s="49"/>
      <c r="H42" s="49"/>
      <c r="I42" s="49"/>
      <c r="J42" s="49"/>
      <c r="K42" s="49"/>
    </row>
    <row r="43" spans="1:11" ht="13" customHeight="1">
      <c r="A43" s="49"/>
      <c r="B43" s="49"/>
      <c r="C43" s="49"/>
      <c r="D43" s="49"/>
      <c r="E43" s="49"/>
      <c r="F43" s="49"/>
      <c r="G43" s="49"/>
      <c r="H43" s="49"/>
      <c r="I43" s="49"/>
      <c r="J43" s="49"/>
      <c r="K43" s="49"/>
    </row>
    <row r="44" spans="1:11" ht="13" customHeight="1">
      <c r="A44" s="49"/>
      <c r="B44" s="49"/>
      <c r="C44" s="49"/>
      <c r="D44" s="49"/>
      <c r="E44" s="49"/>
      <c r="F44" s="49"/>
      <c r="G44" s="49"/>
      <c r="H44" s="49"/>
      <c r="I44" s="49"/>
      <c r="J44" s="49"/>
      <c r="K44" s="49"/>
    </row>
    <row r="45" spans="1:11" ht="13" customHeight="1">
      <c r="A45" s="49"/>
      <c r="B45" s="49"/>
      <c r="C45" s="49"/>
      <c r="D45" s="49"/>
      <c r="E45" s="49"/>
      <c r="F45" s="49"/>
      <c r="G45" s="49"/>
      <c r="H45" s="49"/>
      <c r="I45" s="49"/>
      <c r="J45" s="49"/>
      <c r="K45" s="49"/>
    </row>
    <row r="46" spans="1:11" ht="13" customHeight="1">
      <c r="A46" s="49"/>
      <c r="B46" s="49"/>
      <c r="C46" s="49"/>
      <c r="D46" s="49"/>
      <c r="E46" s="49"/>
      <c r="F46" s="49"/>
      <c r="G46" s="49"/>
      <c r="H46" s="49"/>
      <c r="I46" s="49"/>
      <c r="J46" s="49"/>
      <c r="K46" s="49"/>
    </row>
    <row r="47" spans="1:11" ht="13" customHeight="1">
      <c r="A47" s="49"/>
      <c r="B47" s="49"/>
      <c r="C47" s="49"/>
      <c r="D47" s="49"/>
      <c r="E47" s="49"/>
      <c r="F47" s="49"/>
      <c r="G47" s="49"/>
      <c r="H47" s="49"/>
      <c r="I47" s="49"/>
      <c r="J47" s="49"/>
      <c r="K47" s="49"/>
    </row>
    <row r="48" spans="1:11" ht="13" customHeight="1">
      <c r="A48" s="49"/>
      <c r="B48" s="49"/>
      <c r="C48" s="49"/>
      <c r="D48" s="49"/>
      <c r="E48" s="49"/>
      <c r="F48" s="49"/>
      <c r="G48" s="49"/>
      <c r="H48" s="49"/>
      <c r="I48" s="49"/>
      <c r="J48" s="49"/>
      <c r="K48" s="49"/>
    </row>
    <row r="49" spans="1:11" ht="13" customHeight="1">
      <c r="A49" s="49"/>
      <c r="B49" s="49"/>
      <c r="C49" s="49"/>
      <c r="D49" s="49"/>
      <c r="E49" s="49"/>
      <c r="F49" s="49"/>
      <c r="G49" s="49"/>
      <c r="H49" s="49"/>
      <c r="I49" s="49"/>
      <c r="J49" s="49"/>
      <c r="K49" s="49"/>
    </row>
    <row r="50" spans="1:11" ht="13" customHeight="1">
      <c r="A50" s="49"/>
      <c r="B50" s="49"/>
      <c r="C50" s="49"/>
      <c r="D50" s="49"/>
      <c r="E50" s="49"/>
      <c r="F50" s="49"/>
      <c r="G50" s="49"/>
      <c r="H50" s="49"/>
      <c r="I50" s="49"/>
      <c r="J50" s="49"/>
      <c r="K50" s="49"/>
    </row>
    <row r="51" spans="1:11" ht="13" customHeight="1">
      <c r="A51" s="49"/>
      <c r="B51" s="49"/>
      <c r="C51" s="49"/>
      <c r="D51" s="49"/>
      <c r="E51" s="49"/>
      <c r="F51" s="49"/>
      <c r="G51" s="49"/>
      <c r="H51" s="49"/>
      <c r="I51" s="49"/>
      <c r="J51" s="49"/>
      <c r="K51" s="49"/>
    </row>
    <row r="52" spans="1:11" ht="13" customHeight="1">
      <c r="A52" s="49"/>
      <c r="B52" s="49"/>
      <c r="C52" s="49"/>
      <c r="D52" s="49"/>
      <c r="E52" s="49"/>
      <c r="F52" s="49"/>
      <c r="G52" s="49"/>
      <c r="H52" s="49"/>
      <c r="I52" s="49"/>
      <c r="J52" s="49"/>
      <c r="K52" s="49"/>
    </row>
    <row r="53" spans="1:11" ht="13" customHeight="1">
      <c r="A53" s="49"/>
      <c r="B53" s="49"/>
      <c r="C53" s="49"/>
      <c r="D53" s="49"/>
      <c r="E53" s="49"/>
      <c r="F53" s="49"/>
      <c r="G53" s="49"/>
      <c r="H53" s="49"/>
      <c r="I53" s="49"/>
      <c r="J53" s="49"/>
      <c r="K53" s="49"/>
    </row>
    <row r="54" spans="1:11" ht="13" customHeight="1">
      <c r="A54" s="49"/>
      <c r="B54" s="49"/>
      <c r="C54" s="49"/>
      <c r="D54" s="49"/>
      <c r="E54" s="49"/>
      <c r="F54" s="49"/>
      <c r="G54" s="49"/>
      <c r="H54" s="49"/>
      <c r="I54" s="49"/>
      <c r="J54" s="49"/>
      <c r="K54" s="49"/>
    </row>
    <row r="55" spans="1:11" ht="13" customHeight="1">
      <c r="A55" s="49"/>
      <c r="B55" s="49"/>
      <c r="C55" s="49"/>
      <c r="D55" s="49"/>
      <c r="E55" s="49"/>
      <c r="F55" s="49"/>
      <c r="G55" s="49"/>
      <c r="H55" s="49"/>
      <c r="I55" s="49"/>
      <c r="J55" s="49"/>
      <c r="K55" s="49"/>
    </row>
    <row r="56" spans="1:11" ht="13" customHeight="1">
      <c r="A56" s="49"/>
      <c r="B56" s="49"/>
      <c r="C56" s="49"/>
      <c r="D56" s="49"/>
      <c r="E56" s="49"/>
      <c r="F56" s="49"/>
      <c r="G56" s="49"/>
      <c r="H56" s="49"/>
      <c r="I56" s="49"/>
      <c r="J56" s="49"/>
      <c r="K56" s="49"/>
    </row>
    <row r="57" spans="1:11" ht="13" customHeight="1">
      <c r="A57" s="49"/>
      <c r="B57" s="49"/>
      <c r="C57" s="49"/>
      <c r="D57" s="49"/>
      <c r="E57" s="49"/>
      <c r="F57" s="49"/>
      <c r="G57" s="49"/>
      <c r="H57" s="49"/>
      <c r="I57" s="49"/>
      <c r="J57" s="49"/>
      <c r="K57" s="49"/>
    </row>
    <row r="58" spans="1:11" ht="13" customHeight="1">
      <c r="A58" s="49"/>
      <c r="B58" s="49"/>
      <c r="C58" s="49"/>
      <c r="D58" s="49"/>
      <c r="E58" s="49"/>
      <c r="F58" s="49"/>
      <c r="G58" s="49"/>
      <c r="H58" s="49"/>
      <c r="I58" s="49"/>
      <c r="J58" s="49"/>
      <c r="K58" s="49"/>
    </row>
    <row r="59" spans="1:11" ht="13" customHeight="1">
      <c r="A59" s="49"/>
      <c r="B59" s="49"/>
      <c r="C59" s="49"/>
      <c r="D59" s="49"/>
      <c r="E59" s="49"/>
      <c r="F59" s="49"/>
      <c r="G59" s="49"/>
      <c r="H59" s="49"/>
      <c r="I59" s="49"/>
      <c r="J59" s="49"/>
      <c r="K59" s="49"/>
    </row>
    <row r="60" spans="1:11" ht="13" customHeight="1">
      <c r="A60" s="49"/>
      <c r="B60" s="49"/>
      <c r="C60" s="49"/>
      <c r="D60" s="49"/>
      <c r="E60" s="49"/>
      <c r="F60" s="49"/>
      <c r="G60" s="49"/>
      <c r="H60" s="49"/>
      <c r="I60" s="49"/>
      <c r="J60" s="49"/>
      <c r="K60" s="49"/>
    </row>
    <row r="61" spans="1:11" ht="13" customHeight="1">
      <c r="A61" s="49"/>
      <c r="B61" s="49"/>
      <c r="C61" s="49"/>
      <c r="D61" s="49"/>
      <c r="E61" s="49"/>
      <c r="F61" s="49"/>
      <c r="G61" s="49"/>
      <c r="H61" s="49"/>
      <c r="I61" s="49"/>
      <c r="J61" s="49"/>
      <c r="K61" s="49"/>
    </row>
    <row r="62" spans="1:11" ht="13" customHeight="1">
      <c r="A62" s="49"/>
      <c r="B62" s="49"/>
      <c r="C62" s="49"/>
      <c r="D62" s="49"/>
      <c r="E62" s="49"/>
      <c r="F62" s="49"/>
      <c r="G62" s="49"/>
      <c r="H62" s="49"/>
      <c r="I62" s="49"/>
      <c r="J62" s="49"/>
      <c r="K62" s="49"/>
    </row>
    <row r="63" spans="1:11" ht="13" customHeight="1">
      <c r="A63" s="49"/>
      <c r="B63" s="49"/>
      <c r="C63" s="49"/>
      <c r="D63" s="49"/>
      <c r="E63" s="49"/>
      <c r="F63" s="49"/>
      <c r="G63" s="49"/>
      <c r="H63" s="49"/>
      <c r="I63" s="49"/>
      <c r="J63" s="49"/>
      <c r="K63" s="49"/>
    </row>
    <row r="64" spans="1:11" ht="13" customHeight="1">
      <c r="A64" s="49"/>
      <c r="B64" s="49"/>
      <c r="C64" s="49"/>
      <c r="D64" s="49"/>
      <c r="E64" s="49"/>
      <c r="F64" s="49"/>
      <c r="G64" s="49"/>
      <c r="H64" s="49"/>
      <c r="I64" s="49"/>
      <c r="J64" s="49"/>
      <c r="K64" s="49"/>
    </row>
    <row r="65" spans="1:11" ht="13" customHeight="1">
      <c r="A65" s="49"/>
      <c r="B65" s="49"/>
      <c r="C65" s="49"/>
      <c r="D65" s="49"/>
      <c r="E65" s="49"/>
      <c r="F65" s="49"/>
      <c r="G65" s="49"/>
      <c r="H65" s="49"/>
      <c r="I65" s="49"/>
      <c r="J65" s="49"/>
      <c r="K65" s="49"/>
    </row>
  </sheetData>
  <mergeCells count="6">
    <mergeCell ref="J7:K7"/>
    <mergeCell ref="C7:F7"/>
    <mergeCell ref="G7:I7"/>
    <mergeCell ref="C18:F18"/>
    <mergeCell ref="G18:I18"/>
    <mergeCell ref="J18:K18"/>
  </mergeCells>
  <pageMargins left="0.75" right="0.75" top="1" bottom="1" header="0.5" footer="0.5"/>
  <pageSetup orientation="portrait"/>
  <headerFooter>
    <oddFooter>&amp;C&amp;"Helvetica Neue,Regular"&amp;12&amp;K000000&amp;P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70"/>
  <sheetViews>
    <sheetView showGridLines="0" workbookViewId="0"/>
  </sheetViews>
  <sheetFormatPr baseColWidth="10" defaultColWidth="8.83203125" defaultRowHeight="13" customHeight="1"/>
  <cols>
    <col min="1" max="1" width="8.83203125" style="4" customWidth="1"/>
    <col min="2" max="2" width="11.5" style="4" customWidth="1"/>
    <col min="3" max="3" width="12.5" style="4" customWidth="1"/>
    <col min="4" max="4" width="12.6640625" style="4" customWidth="1"/>
    <col min="5" max="5" width="11.5" style="4" customWidth="1"/>
    <col min="6" max="6" width="14.5" style="4" customWidth="1"/>
    <col min="7" max="7" width="14.33203125" style="4" customWidth="1"/>
    <col min="8" max="8" width="15.1640625" style="4" customWidth="1"/>
    <col min="9" max="9" width="14.5" style="4" customWidth="1"/>
    <col min="10" max="10" width="8.83203125" style="4" customWidth="1"/>
    <col min="11" max="16384" width="8.83203125" style="4"/>
  </cols>
  <sheetData>
    <row r="1" spans="1:9" ht="16" customHeight="1">
      <c r="A1" s="57" t="s">
        <v>236</v>
      </c>
      <c r="B1" s="6"/>
      <c r="C1" s="49"/>
      <c r="D1" s="49"/>
      <c r="E1" s="49"/>
      <c r="F1" s="49"/>
      <c r="G1" s="49"/>
      <c r="H1" s="49"/>
      <c r="I1" s="49"/>
    </row>
    <row r="2" spans="1:9" ht="16" customHeight="1">
      <c r="A2" s="57" t="s">
        <v>237</v>
      </c>
      <c r="B2" s="6"/>
      <c r="C2" s="58"/>
      <c r="D2" s="58"/>
      <c r="E2" s="58"/>
      <c r="F2" s="58"/>
      <c r="G2" s="58"/>
      <c r="H2" s="58"/>
      <c r="I2" s="58"/>
    </row>
    <row r="3" spans="1:9" ht="16" customHeight="1">
      <c r="A3" s="57" t="s">
        <v>238</v>
      </c>
      <c r="B3" s="6"/>
      <c r="C3" s="58"/>
      <c r="D3" s="58"/>
      <c r="E3" s="58"/>
      <c r="F3" s="49"/>
      <c r="G3" s="58"/>
      <c r="H3" s="58"/>
      <c r="I3" s="58"/>
    </row>
    <row r="4" spans="1:9" ht="16" customHeight="1">
      <c r="A4" s="57" t="s">
        <v>239</v>
      </c>
      <c r="B4" s="6"/>
      <c r="C4" s="58"/>
      <c r="D4" s="58"/>
      <c r="E4" s="58"/>
      <c r="F4" s="49"/>
      <c r="G4" s="58"/>
      <c r="H4" s="58"/>
      <c r="I4" s="58"/>
    </row>
    <row r="5" spans="1:9" ht="16" customHeight="1">
      <c r="A5" s="49"/>
      <c r="B5" s="16"/>
      <c r="C5" s="58"/>
      <c r="D5" s="58"/>
      <c r="E5" s="58"/>
      <c r="F5" s="58"/>
      <c r="G5" s="58"/>
      <c r="H5" s="58"/>
      <c r="I5" s="58"/>
    </row>
    <row r="6" spans="1:9" ht="16" customHeight="1">
      <c r="A6" s="49"/>
      <c r="B6" s="16"/>
      <c r="C6" s="231" t="s">
        <v>223</v>
      </c>
      <c r="D6" s="232"/>
      <c r="E6" s="232"/>
      <c r="F6" s="232"/>
      <c r="G6" s="231" t="s">
        <v>224</v>
      </c>
      <c r="H6" s="232"/>
      <c r="I6" s="232"/>
    </row>
    <row r="7" spans="1:9" ht="51" customHeight="1">
      <c r="A7" s="60" t="s">
        <v>105</v>
      </c>
      <c r="B7" s="35" t="s">
        <v>226</v>
      </c>
      <c r="C7" s="60" t="s">
        <v>227</v>
      </c>
      <c r="D7" s="60" t="s">
        <v>228</v>
      </c>
      <c r="E7" s="60" t="s">
        <v>229</v>
      </c>
      <c r="F7" s="60" t="s">
        <v>223</v>
      </c>
      <c r="G7" s="60" t="s">
        <v>230</v>
      </c>
      <c r="H7" s="60" t="s">
        <v>231</v>
      </c>
      <c r="I7" s="60" t="s">
        <v>224</v>
      </c>
    </row>
    <row r="8" spans="1:9" ht="16" customHeight="1">
      <c r="A8" s="62">
        <v>1799</v>
      </c>
      <c r="B8" s="42">
        <v>1800</v>
      </c>
      <c r="C8" s="64">
        <v>181080</v>
      </c>
      <c r="D8" s="64">
        <v>29134</v>
      </c>
      <c r="E8" s="64">
        <v>142572</v>
      </c>
      <c r="F8" s="64">
        <f t="shared" ref="F8:F14" si="0">C8+D8+E8</f>
        <v>352786</v>
      </c>
      <c r="G8" s="64">
        <v>12991</v>
      </c>
      <c r="H8" s="64">
        <v>45300</v>
      </c>
      <c r="I8" s="64">
        <f t="shared" ref="I8:I14" si="1">F8+G8+H8</f>
        <v>411077</v>
      </c>
    </row>
    <row r="9" spans="1:9" ht="16" customHeight="1">
      <c r="A9" s="62">
        <v>1809</v>
      </c>
      <c r="B9" s="42">
        <v>1810</v>
      </c>
      <c r="C9" s="64">
        <v>245882</v>
      </c>
      <c r="D9" s="64">
        <v>41899</v>
      </c>
      <c r="E9" s="64">
        <v>219681</v>
      </c>
      <c r="F9" s="64">
        <f t="shared" si="0"/>
        <v>507462</v>
      </c>
      <c r="G9" s="64">
        <v>21167</v>
      </c>
      <c r="H9" s="64">
        <v>61600</v>
      </c>
      <c r="I9" s="64">
        <f t="shared" si="1"/>
        <v>590229</v>
      </c>
    </row>
    <row r="10" spans="1:9" ht="16" customHeight="1">
      <c r="A10" s="62">
        <v>1819</v>
      </c>
      <c r="B10" s="42">
        <v>1820</v>
      </c>
      <c r="C10" s="64">
        <v>330508</v>
      </c>
      <c r="D10" s="64">
        <v>60594</v>
      </c>
      <c r="E10" s="64">
        <v>307460</v>
      </c>
      <c r="F10" s="64">
        <f t="shared" si="0"/>
        <v>698562</v>
      </c>
      <c r="G10" s="64">
        <v>26470</v>
      </c>
      <c r="H10" s="64">
        <v>81900</v>
      </c>
      <c r="I10" s="64">
        <f t="shared" si="1"/>
        <v>806932</v>
      </c>
    </row>
    <row r="11" spans="1:9" ht="16" customHeight="1">
      <c r="A11" s="62">
        <v>1829</v>
      </c>
      <c r="B11" s="42">
        <v>1830</v>
      </c>
      <c r="C11" s="64">
        <v>456678</v>
      </c>
      <c r="D11" s="64">
        <v>100628</v>
      </c>
      <c r="E11" s="64">
        <v>465634</v>
      </c>
      <c r="F11" s="64">
        <f t="shared" si="0"/>
        <v>1022940</v>
      </c>
      <c r="G11" s="64">
        <v>32091</v>
      </c>
      <c r="H11" s="64">
        <v>108100</v>
      </c>
      <c r="I11" s="64">
        <f t="shared" si="1"/>
        <v>1163131</v>
      </c>
    </row>
    <row r="12" spans="1:9" ht="16" customHeight="1">
      <c r="A12" s="62">
        <v>1839</v>
      </c>
      <c r="B12" s="42">
        <v>1840</v>
      </c>
      <c r="C12" s="64">
        <v>634100</v>
      </c>
      <c r="D12" s="64">
        <v>166064</v>
      </c>
      <c r="E12" s="64">
        <v>752836</v>
      </c>
      <c r="F12" s="64">
        <f t="shared" si="0"/>
        <v>1553000</v>
      </c>
      <c r="G12" s="64">
        <v>39700</v>
      </c>
      <c r="H12" s="64">
        <v>137000</v>
      </c>
      <c r="I12" s="64">
        <f t="shared" si="1"/>
        <v>1729700</v>
      </c>
    </row>
    <row r="13" spans="1:9" ht="16" customHeight="1">
      <c r="A13" s="62">
        <v>1849</v>
      </c>
      <c r="B13" s="42">
        <v>1850</v>
      </c>
      <c r="C13" s="64">
        <v>786316</v>
      </c>
      <c r="D13" s="64">
        <v>209349</v>
      </c>
      <c r="E13" s="64">
        <v>1322921</v>
      </c>
      <c r="F13" s="64">
        <f t="shared" si="0"/>
        <v>2318586</v>
      </c>
      <c r="G13" s="64">
        <v>58455</v>
      </c>
      <c r="H13" s="64">
        <v>193333</v>
      </c>
      <c r="I13" s="64">
        <f t="shared" si="1"/>
        <v>2570374</v>
      </c>
    </row>
    <row r="14" spans="1:9" ht="16" customHeight="1">
      <c r="A14" s="62">
        <v>1859</v>
      </c>
      <c r="B14" s="42">
        <v>1860</v>
      </c>
      <c r="C14" s="64">
        <v>1270909</v>
      </c>
      <c r="D14" s="64">
        <v>311979</v>
      </c>
      <c r="E14" s="64">
        <v>2325660</v>
      </c>
      <c r="F14" s="64">
        <f t="shared" si="0"/>
        <v>3908548</v>
      </c>
      <c r="G14" s="64">
        <v>64191</v>
      </c>
      <c r="H14" s="64">
        <v>253488</v>
      </c>
      <c r="I14" s="64">
        <f t="shared" si="1"/>
        <v>4226227</v>
      </c>
    </row>
    <row r="15" spans="1:9" ht="13" customHeight="1">
      <c r="A15" s="49"/>
      <c r="B15" s="6"/>
      <c r="C15" s="49"/>
      <c r="D15" s="49"/>
      <c r="E15" s="49"/>
      <c r="F15" s="49"/>
      <c r="G15" s="49"/>
      <c r="H15" s="49"/>
      <c r="I15" s="49"/>
    </row>
    <row r="16" spans="1:9" ht="13" customHeight="1">
      <c r="A16" s="49"/>
      <c r="B16" s="6"/>
      <c r="C16" s="49"/>
      <c r="D16" s="49"/>
      <c r="E16" s="49"/>
      <c r="F16" s="49"/>
      <c r="G16" s="49"/>
      <c r="H16" s="49"/>
      <c r="I16" s="49"/>
    </row>
    <row r="17" spans="1:9" ht="16" customHeight="1">
      <c r="A17" s="58"/>
      <c r="B17" s="6"/>
      <c r="C17" s="49"/>
      <c r="D17" s="49"/>
      <c r="E17" s="49"/>
      <c r="F17" s="49"/>
      <c r="G17" s="49"/>
      <c r="H17" s="49"/>
      <c r="I17" s="49"/>
    </row>
    <row r="18" spans="1:9" ht="13" customHeight="1">
      <c r="A18" s="49"/>
      <c r="B18" s="6"/>
      <c r="C18" s="49"/>
      <c r="D18" s="49"/>
      <c r="E18" s="49"/>
      <c r="F18" s="49"/>
      <c r="G18" s="49"/>
      <c r="H18" s="49"/>
      <c r="I18" s="49"/>
    </row>
    <row r="19" spans="1:9" ht="13" customHeight="1">
      <c r="A19" s="49"/>
      <c r="B19" s="6"/>
      <c r="C19" s="49"/>
      <c r="D19" s="49"/>
      <c r="E19" s="49"/>
      <c r="F19" s="49"/>
      <c r="G19" s="49"/>
      <c r="H19" s="49"/>
      <c r="I19" s="49"/>
    </row>
    <row r="20" spans="1:9" ht="13" customHeight="1">
      <c r="A20" s="49"/>
      <c r="B20" s="6"/>
      <c r="C20" s="49"/>
      <c r="D20" s="49"/>
      <c r="E20" s="49"/>
      <c r="F20" s="49"/>
      <c r="G20" s="49"/>
      <c r="H20" s="49"/>
      <c r="I20" s="49"/>
    </row>
    <row r="21" spans="1:9" ht="13" customHeight="1">
      <c r="A21" s="49"/>
      <c r="B21" s="6"/>
      <c r="C21" s="49"/>
      <c r="D21" s="49"/>
      <c r="E21" s="49"/>
      <c r="F21" s="49"/>
      <c r="G21" s="49"/>
      <c r="H21" s="49"/>
      <c r="I21" s="49"/>
    </row>
    <row r="22" spans="1:9" ht="13" customHeight="1">
      <c r="A22" s="49"/>
      <c r="B22" s="6"/>
      <c r="C22" s="49"/>
      <c r="D22" s="49"/>
      <c r="E22" s="49"/>
      <c r="F22" s="49"/>
      <c r="G22" s="49"/>
      <c r="H22" s="49"/>
      <c r="I22" s="49"/>
    </row>
    <row r="23" spans="1:9" ht="13" customHeight="1">
      <c r="A23" s="49"/>
      <c r="B23" s="6"/>
      <c r="C23" s="49"/>
      <c r="D23" s="49"/>
      <c r="E23" s="49"/>
      <c r="F23" s="49"/>
      <c r="G23" s="49"/>
      <c r="H23" s="49"/>
      <c r="I23" s="49"/>
    </row>
    <row r="24" spans="1:9" ht="13" customHeight="1">
      <c r="A24" s="49"/>
      <c r="B24" s="6"/>
      <c r="C24" s="49"/>
      <c r="D24" s="49"/>
      <c r="E24" s="49"/>
      <c r="F24" s="49"/>
      <c r="G24" s="49"/>
      <c r="H24" s="49"/>
      <c r="I24" s="49"/>
    </row>
    <row r="25" spans="1:9" ht="13" customHeight="1">
      <c r="A25" s="49"/>
      <c r="B25" s="6"/>
      <c r="C25" s="49"/>
      <c r="D25" s="49"/>
      <c r="E25" s="49"/>
      <c r="F25" s="49"/>
      <c r="G25" s="49"/>
      <c r="H25" s="49"/>
      <c r="I25" s="49"/>
    </row>
    <row r="26" spans="1:9" ht="13" customHeight="1">
      <c r="A26" s="49"/>
      <c r="B26" s="6"/>
      <c r="C26" s="49"/>
      <c r="D26" s="49"/>
      <c r="E26" s="49"/>
      <c r="F26" s="49"/>
      <c r="G26" s="49"/>
      <c r="H26" s="49"/>
      <c r="I26" s="49"/>
    </row>
    <row r="27" spans="1:9" ht="13" customHeight="1">
      <c r="A27" s="49"/>
      <c r="B27" s="6"/>
      <c r="C27" s="49"/>
      <c r="D27" s="49"/>
      <c r="E27" s="49"/>
      <c r="F27" s="49"/>
      <c r="G27" s="49"/>
      <c r="H27" s="49"/>
      <c r="I27" s="49"/>
    </row>
    <row r="28" spans="1:9" ht="13" customHeight="1">
      <c r="A28" s="49"/>
      <c r="B28" s="6"/>
      <c r="C28" s="49"/>
      <c r="D28" s="49"/>
      <c r="E28" s="49"/>
      <c r="F28" s="49"/>
      <c r="G28" s="49"/>
      <c r="H28" s="49"/>
      <c r="I28" s="49"/>
    </row>
    <row r="29" spans="1:9" ht="13" customHeight="1">
      <c r="A29" s="49"/>
      <c r="B29" s="6"/>
      <c r="C29" s="49"/>
      <c r="D29" s="49"/>
      <c r="E29" s="49"/>
      <c r="F29" s="49"/>
      <c r="G29" s="49"/>
      <c r="H29" s="49"/>
      <c r="I29" s="49"/>
    </row>
    <row r="30" spans="1:9" ht="13" customHeight="1">
      <c r="A30" s="49"/>
      <c r="B30" s="6"/>
      <c r="C30" s="49"/>
      <c r="D30" s="49"/>
      <c r="E30" s="49"/>
      <c r="F30" s="49"/>
      <c r="G30" s="49"/>
      <c r="H30" s="49"/>
      <c r="I30" s="49"/>
    </row>
    <row r="31" spans="1:9" ht="13" customHeight="1">
      <c r="A31" s="49"/>
      <c r="B31" s="6"/>
      <c r="C31" s="49"/>
      <c r="D31" s="49"/>
      <c r="E31" s="49"/>
      <c r="F31" s="49"/>
      <c r="G31" s="49"/>
      <c r="H31" s="49"/>
      <c r="I31" s="49"/>
    </row>
    <row r="32" spans="1:9" ht="13" customHeight="1">
      <c r="A32" s="49"/>
      <c r="B32" s="6"/>
      <c r="C32" s="49"/>
      <c r="D32" s="49"/>
      <c r="E32" s="49"/>
      <c r="F32" s="49"/>
      <c r="G32" s="49"/>
      <c r="H32" s="49"/>
      <c r="I32" s="49"/>
    </row>
    <row r="33" spans="1:9" ht="13" customHeight="1">
      <c r="A33" s="49"/>
      <c r="B33" s="6"/>
      <c r="C33" s="49"/>
      <c r="D33" s="49"/>
      <c r="E33" s="49"/>
      <c r="F33" s="49"/>
      <c r="G33" s="49"/>
      <c r="H33" s="49"/>
      <c r="I33" s="49"/>
    </row>
    <row r="34" spans="1:9" ht="13" customHeight="1">
      <c r="A34" s="49"/>
      <c r="B34" s="6"/>
      <c r="C34" s="49"/>
      <c r="D34" s="49"/>
      <c r="E34" s="49"/>
      <c r="F34" s="49"/>
      <c r="G34" s="49"/>
      <c r="H34" s="49"/>
      <c r="I34" s="49"/>
    </row>
    <row r="35" spans="1:9" ht="13" customHeight="1">
      <c r="A35" s="49"/>
      <c r="B35" s="6"/>
      <c r="C35" s="49"/>
      <c r="D35" s="49"/>
      <c r="E35" s="49"/>
      <c r="F35" s="49"/>
      <c r="G35" s="49"/>
      <c r="H35" s="49"/>
      <c r="I35" s="49"/>
    </row>
    <row r="36" spans="1:9" ht="13" customHeight="1">
      <c r="A36" s="49"/>
      <c r="B36" s="6"/>
      <c r="C36" s="49"/>
      <c r="D36" s="49"/>
      <c r="E36" s="49"/>
      <c r="F36" s="49"/>
      <c r="G36" s="49"/>
      <c r="H36" s="49"/>
      <c r="I36" s="49"/>
    </row>
    <row r="37" spans="1:9" ht="13" customHeight="1">
      <c r="A37" s="49"/>
      <c r="B37" s="6"/>
      <c r="C37" s="49"/>
      <c r="D37" s="49"/>
      <c r="E37" s="49"/>
      <c r="F37" s="49"/>
      <c r="G37" s="49"/>
      <c r="H37" s="49"/>
      <c r="I37" s="49"/>
    </row>
    <row r="38" spans="1:9" ht="13" customHeight="1">
      <c r="A38" s="49"/>
      <c r="B38" s="6"/>
      <c r="C38" s="49"/>
      <c r="D38" s="49"/>
      <c r="E38" s="49"/>
      <c r="F38" s="49"/>
      <c r="G38" s="49"/>
      <c r="H38" s="49"/>
      <c r="I38" s="49"/>
    </row>
    <row r="39" spans="1:9" ht="13" customHeight="1">
      <c r="A39" s="49"/>
      <c r="B39" s="6"/>
      <c r="C39" s="49"/>
      <c r="D39" s="49"/>
      <c r="E39" s="49"/>
      <c r="F39" s="49"/>
      <c r="G39" s="49"/>
      <c r="H39" s="49"/>
      <c r="I39" s="49"/>
    </row>
    <row r="40" spans="1:9" ht="13" customHeight="1">
      <c r="A40" s="49"/>
      <c r="B40" s="6"/>
      <c r="C40" s="49"/>
      <c r="D40" s="49"/>
      <c r="E40" s="49"/>
      <c r="F40" s="49"/>
      <c r="G40" s="49"/>
      <c r="H40" s="49"/>
      <c r="I40" s="49"/>
    </row>
    <row r="41" spans="1:9" ht="13" customHeight="1">
      <c r="A41" s="49"/>
      <c r="B41" s="6"/>
      <c r="C41" s="49"/>
      <c r="D41" s="49"/>
      <c r="E41" s="49"/>
      <c r="F41" s="49"/>
      <c r="G41" s="49"/>
      <c r="H41" s="49"/>
      <c r="I41" s="49"/>
    </row>
    <row r="42" spans="1:9" ht="13" customHeight="1">
      <c r="A42" s="49"/>
      <c r="B42" s="6"/>
      <c r="C42" s="49"/>
      <c r="D42" s="49"/>
      <c r="E42" s="49"/>
      <c r="F42" s="49"/>
      <c r="G42" s="49"/>
      <c r="H42" s="49"/>
      <c r="I42" s="49"/>
    </row>
    <row r="43" spans="1:9" ht="13" customHeight="1">
      <c r="A43" s="49"/>
      <c r="B43" s="6"/>
      <c r="C43" s="49"/>
      <c r="D43" s="49"/>
      <c r="E43" s="49"/>
      <c r="F43" s="49"/>
      <c r="G43" s="49"/>
      <c r="H43" s="49"/>
      <c r="I43" s="49"/>
    </row>
    <row r="44" spans="1:9" ht="13" customHeight="1">
      <c r="A44" s="49"/>
      <c r="B44" s="6"/>
      <c r="C44" s="49"/>
      <c r="D44" s="49"/>
      <c r="E44" s="49"/>
      <c r="F44" s="49"/>
      <c r="G44" s="49"/>
      <c r="H44" s="49"/>
      <c r="I44" s="49"/>
    </row>
    <row r="45" spans="1:9" ht="13" customHeight="1">
      <c r="A45" s="49"/>
      <c r="B45" s="6"/>
      <c r="C45" s="49"/>
      <c r="D45" s="49"/>
      <c r="E45" s="49"/>
      <c r="F45" s="49"/>
      <c r="G45" s="49"/>
      <c r="H45" s="49"/>
      <c r="I45" s="49"/>
    </row>
    <row r="46" spans="1:9" ht="13" customHeight="1">
      <c r="A46" s="49"/>
      <c r="B46" s="6"/>
      <c r="C46" s="49"/>
      <c r="D46" s="49"/>
      <c r="E46" s="49"/>
      <c r="F46" s="49"/>
      <c r="G46" s="49"/>
      <c r="H46" s="49"/>
      <c r="I46" s="49"/>
    </row>
    <row r="47" spans="1:9" ht="13" customHeight="1">
      <c r="A47" s="49"/>
      <c r="B47" s="6"/>
      <c r="C47" s="49"/>
      <c r="D47" s="49"/>
      <c r="E47" s="49"/>
      <c r="F47" s="49"/>
      <c r="G47" s="49"/>
      <c r="H47" s="49"/>
      <c r="I47" s="49"/>
    </row>
    <row r="48" spans="1:9" ht="13" customHeight="1">
      <c r="A48" s="49"/>
      <c r="B48" s="6"/>
      <c r="C48" s="49"/>
      <c r="D48" s="49"/>
      <c r="E48" s="49"/>
      <c r="F48" s="49"/>
      <c r="G48" s="49"/>
      <c r="H48" s="49"/>
      <c r="I48" s="49"/>
    </row>
    <row r="49" spans="1:9" ht="13" customHeight="1">
      <c r="A49" s="49"/>
      <c r="B49" s="6"/>
      <c r="C49" s="49"/>
      <c r="D49" s="49"/>
      <c r="E49" s="49"/>
      <c r="F49" s="49"/>
      <c r="G49" s="49"/>
      <c r="H49" s="49"/>
      <c r="I49" s="49"/>
    </row>
    <row r="50" spans="1:9" ht="13" customHeight="1">
      <c r="A50" s="49"/>
      <c r="B50" s="6"/>
      <c r="C50" s="49"/>
      <c r="D50" s="49"/>
      <c r="E50" s="49"/>
      <c r="F50" s="49"/>
      <c r="G50" s="49"/>
      <c r="H50" s="49"/>
      <c r="I50" s="49"/>
    </row>
    <row r="51" spans="1:9" ht="13" customHeight="1">
      <c r="A51" s="49"/>
      <c r="B51" s="6"/>
      <c r="C51" s="49"/>
      <c r="D51" s="49"/>
      <c r="E51" s="49"/>
      <c r="F51" s="49"/>
      <c r="G51" s="49"/>
      <c r="H51" s="49"/>
      <c r="I51" s="49"/>
    </row>
    <row r="52" spans="1:9" ht="13" customHeight="1">
      <c r="A52" s="49"/>
      <c r="B52" s="6"/>
      <c r="C52" s="49"/>
      <c r="D52" s="49"/>
      <c r="E52" s="49"/>
      <c r="F52" s="49"/>
      <c r="G52" s="49"/>
      <c r="H52" s="49"/>
      <c r="I52" s="49"/>
    </row>
    <row r="53" spans="1:9" ht="13" customHeight="1">
      <c r="A53" s="49"/>
      <c r="B53" s="6"/>
      <c r="C53" s="49"/>
      <c r="D53" s="49"/>
      <c r="E53" s="49"/>
      <c r="F53" s="49"/>
      <c r="G53" s="49"/>
      <c r="H53" s="49"/>
      <c r="I53" s="49"/>
    </row>
    <row r="54" spans="1:9" ht="13" customHeight="1">
      <c r="A54" s="49"/>
      <c r="B54" s="6"/>
      <c r="C54" s="49"/>
      <c r="D54" s="49"/>
      <c r="E54" s="49"/>
      <c r="F54" s="49"/>
      <c r="G54" s="49"/>
      <c r="H54" s="49"/>
      <c r="I54" s="49"/>
    </row>
    <row r="55" spans="1:9" ht="13" customHeight="1">
      <c r="A55" s="49"/>
      <c r="B55" s="6"/>
      <c r="C55" s="49"/>
      <c r="D55" s="49"/>
      <c r="E55" s="49"/>
      <c r="F55" s="49"/>
      <c r="G55" s="49"/>
      <c r="H55" s="49"/>
      <c r="I55" s="49"/>
    </row>
    <row r="56" spans="1:9" ht="13" customHeight="1">
      <c r="A56" s="49"/>
      <c r="B56" s="6"/>
      <c r="C56" s="49"/>
      <c r="D56" s="49"/>
      <c r="E56" s="49"/>
      <c r="F56" s="49"/>
      <c r="G56" s="49"/>
      <c r="H56" s="49"/>
      <c r="I56" s="49"/>
    </row>
    <row r="57" spans="1:9" ht="13" customHeight="1">
      <c r="A57" s="49"/>
      <c r="B57" s="6"/>
      <c r="C57" s="49"/>
      <c r="D57" s="49"/>
      <c r="E57" s="49"/>
      <c r="F57" s="49"/>
      <c r="G57" s="49"/>
      <c r="H57" s="49"/>
      <c r="I57" s="49"/>
    </row>
    <row r="58" spans="1:9" ht="13" customHeight="1">
      <c r="A58" s="49"/>
      <c r="B58" s="6"/>
      <c r="C58" s="49"/>
      <c r="D58" s="49"/>
      <c r="E58" s="49"/>
      <c r="F58" s="49"/>
      <c r="G58" s="49"/>
      <c r="H58" s="49"/>
      <c r="I58" s="49"/>
    </row>
    <row r="59" spans="1:9" ht="13" customHeight="1">
      <c r="A59" s="49"/>
      <c r="B59" s="6"/>
      <c r="C59" s="49"/>
      <c r="D59" s="49"/>
      <c r="E59" s="49"/>
      <c r="F59" s="49"/>
      <c r="G59" s="49"/>
      <c r="H59" s="49"/>
      <c r="I59" s="49"/>
    </row>
    <row r="60" spans="1:9" ht="13" customHeight="1">
      <c r="A60" s="49"/>
      <c r="B60" s="6"/>
      <c r="C60" s="49"/>
      <c r="D60" s="49"/>
      <c r="E60" s="49"/>
      <c r="F60" s="49"/>
      <c r="G60" s="49"/>
      <c r="H60" s="49"/>
      <c r="I60" s="49"/>
    </row>
    <row r="61" spans="1:9" ht="13" customHeight="1">
      <c r="A61" s="49"/>
      <c r="B61" s="6"/>
      <c r="C61" s="49"/>
      <c r="D61" s="49"/>
      <c r="E61" s="49"/>
      <c r="F61" s="49"/>
      <c r="G61" s="49"/>
      <c r="H61" s="49"/>
      <c r="I61" s="49"/>
    </row>
    <row r="62" spans="1:9" ht="13" customHeight="1">
      <c r="A62" s="49"/>
      <c r="B62" s="6"/>
      <c r="C62" s="49"/>
      <c r="D62" s="49"/>
      <c r="E62" s="49"/>
      <c r="F62" s="49"/>
      <c r="G62" s="49"/>
      <c r="H62" s="49"/>
      <c r="I62" s="49"/>
    </row>
    <row r="63" spans="1:9" ht="13" customHeight="1">
      <c r="A63" s="49"/>
      <c r="B63" s="6"/>
      <c r="C63" s="49"/>
      <c r="D63" s="49"/>
      <c r="E63" s="49"/>
      <c r="F63" s="49"/>
      <c r="G63" s="49"/>
      <c r="H63" s="49"/>
      <c r="I63" s="49"/>
    </row>
    <row r="64" spans="1:9" ht="13" customHeight="1">
      <c r="A64" s="49"/>
      <c r="B64" s="6"/>
      <c r="C64" s="49"/>
      <c r="D64" s="49"/>
      <c r="E64" s="49"/>
      <c r="F64" s="49"/>
      <c r="G64" s="49"/>
      <c r="H64" s="49"/>
      <c r="I64" s="49"/>
    </row>
    <row r="65" spans="1:9" ht="13" customHeight="1">
      <c r="A65" s="49"/>
      <c r="B65" s="6"/>
      <c r="C65" s="49"/>
      <c r="D65" s="49"/>
      <c r="E65" s="49"/>
      <c r="F65" s="49"/>
      <c r="G65" s="49"/>
      <c r="H65" s="49"/>
      <c r="I65" s="49"/>
    </row>
    <row r="66" spans="1:9" ht="13" customHeight="1">
      <c r="A66" s="49"/>
      <c r="B66" s="6"/>
      <c r="C66" s="49"/>
      <c r="D66" s="49"/>
      <c r="E66" s="49"/>
      <c r="F66" s="49"/>
      <c r="G66" s="49"/>
      <c r="H66" s="49"/>
      <c r="I66" s="49"/>
    </row>
    <row r="67" spans="1:9" ht="13" customHeight="1">
      <c r="A67" s="49"/>
      <c r="B67" s="6"/>
      <c r="C67" s="49"/>
      <c r="D67" s="49"/>
      <c r="E67" s="49"/>
      <c r="F67" s="49"/>
      <c r="G67" s="49"/>
      <c r="H67" s="49"/>
      <c r="I67" s="49"/>
    </row>
    <row r="68" spans="1:9" ht="13" customHeight="1">
      <c r="A68" s="49"/>
      <c r="B68" s="6"/>
      <c r="C68" s="49"/>
      <c r="D68" s="49"/>
      <c r="E68" s="49"/>
      <c r="F68" s="49"/>
      <c r="G68" s="49"/>
      <c r="H68" s="49"/>
      <c r="I68" s="49"/>
    </row>
    <row r="69" spans="1:9" ht="13" customHeight="1">
      <c r="A69" s="49"/>
      <c r="B69" s="6"/>
      <c r="C69" s="49"/>
      <c r="D69" s="49"/>
      <c r="E69" s="49"/>
      <c r="F69" s="49"/>
      <c r="G69" s="49"/>
      <c r="H69" s="49"/>
      <c r="I69" s="49"/>
    </row>
    <row r="70" spans="1:9" ht="13" customHeight="1">
      <c r="A70" s="49"/>
      <c r="B70" s="6"/>
      <c r="C70" s="49"/>
      <c r="D70" s="49"/>
      <c r="E70" s="49"/>
      <c r="F70" s="49"/>
      <c r="G70" s="49"/>
      <c r="H70" s="49"/>
      <c r="I70" s="49"/>
    </row>
  </sheetData>
  <mergeCells count="2">
    <mergeCell ref="C6:F6"/>
    <mergeCell ref="G6:I6"/>
  </mergeCells>
  <pageMargins left="0.75" right="0.75" top="1" bottom="1" header="0.5" footer="0.5"/>
  <pageSetup orientation="portrait"/>
  <headerFooter>
    <oddFooter>&amp;C&amp;"Helvetica Neue,Regular"&amp;12&amp;K000000&amp;P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8"/>
  <sheetViews>
    <sheetView showGridLines="0" workbookViewId="0"/>
  </sheetViews>
  <sheetFormatPr baseColWidth="10" defaultColWidth="9.1640625" defaultRowHeight="16" customHeight="1"/>
  <cols>
    <col min="1" max="1" width="15.33203125" style="4" customWidth="1"/>
    <col min="2" max="2" width="13.5" style="4" customWidth="1"/>
    <col min="3" max="3" width="11.33203125" style="4" customWidth="1"/>
    <col min="4" max="4" width="12.33203125" style="4" customWidth="1"/>
    <col min="5" max="5" width="17.6640625" style="4" customWidth="1"/>
    <col min="6" max="6" width="9.1640625" style="4" customWidth="1"/>
    <col min="7" max="16384" width="9.1640625" style="4"/>
  </cols>
  <sheetData>
    <row r="1" spans="1:5" ht="17.5" customHeight="1">
      <c r="A1" s="8" t="s">
        <v>241</v>
      </c>
      <c r="B1" s="6"/>
      <c r="C1" s="6"/>
      <c r="D1" s="6"/>
      <c r="E1" s="6"/>
    </row>
    <row r="2" spans="1:5" ht="32.25" customHeight="1">
      <c r="A2" s="233" t="s">
        <v>242</v>
      </c>
      <c r="B2" s="234"/>
      <c r="C2" s="234"/>
      <c r="D2" s="234"/>
      <c r="E2" s="234"/>
    </row>
    <row r="3" spans="1:5" ht="17.5" customHeight="1">
      <c r="A3" s="8" t="s">
        <v>243</v>
      </c>
      <c r="B3" s="6"/>
      <c r="C3" s="6"/>
      <c r="D3" s="6"/>
      <c r="E3" s="6"/>
    </row>
    <row r="4" spans="1:5" ht="17.5" customHeight="1">
      <c r="A4" s="8" t="s">
        <v>244</v>
      </c>
      <c r="B4" s="6"/>
      <c r="C4" s="6"/>
      <c r="D4" s="6"/>
      <c r="E4" s="6"/>
    </row>
    <row r="5" spans="1:5" ht="13.75" customHeight="1">
      <c r="A5" s="6"/>
      <c r="B5" s="6"/>
      <c r="C5" s="6"/>
      <c r="D5" s="6"/>
      <c r="E5" s="6"/>
    </row>
    <row r="6" spans="1:5" ht="68" customHeight="1">
      <c r="A6" s="8" t="s">
        <v>245</v>
      </c>
      <c r="B6" s="21" t="s">
        <v>246</v>
      </c>
      <c r="C6" s="21" t="s">
        <v>247</v>
      </c>
      <c r="D6" s="21" t="s">
        <v>248</v>
      </c>
      <c r="E6" s="21" t="s">
        <v>249</v>
      </c>
    </row>
    <row r="7" spans="1:5" ht="17.5" customHeight="1">
      <c r="A7" s="68">
        <v>1839</v>
      </c>
      <c r="B7" s="69">
        <v>1.54</v>
      </c>
      <c r="C7" s="69">
        <v>1.62</v>
      </c>
      <c r="D7" s="22">
        <v>94</v>
      </c>
      <c r="E7" s="25">
        <f>ROUND((B7/C7)*100,3)</f>
        <v>95.061999999999998</v>
      </c>
    </row>
    <row r="8" spans="1:5" ht="17.5" customHeight="1">
      <c r="A8" s="68">
        <v>1844</v>
      </c>
      <c r="B8" s="69">
        <v>1.8</v>
      </c>
      <c r="C8" s="69">
        <v>1.97</v>
      </c>
      <c r="D8" s="22">
        <v>90</v>
      </c>
      <c r="E8" s="25">
        <f>ROUND((B8/C8)*100,3)</f>
        <v>91.370999999999995</v>
      </c>
    </row>
    <row r="9" spans="1:5" ht="17.5" customHeight="1">
      <c r="A9" s="68">
        <v>1849</v>
      </c>
      <c r="B9" s="69">
        <v>2.3199999999999998</v>
      </c>
      <c r="C9" s="69">
        <v>2.4300000000000002</v>
      </c>
      <c r="D9" s="22">
        <v>96</v>
      </c>
      <c r="E9" s="25">
        <f>ROUND((B9/C9)*100,3)</f>
        <v>95.472999999999999</v>
      </c>
    </row>
    <row r="10" spans="1:5" ht="17.5" customHeight="1">
      <c r="A10" s="68">
        <v>1854</v>
      </c>
      <c r="B10" s="69">
        <v>3.53</v>
      </c>
      <c r="C10" s="69">
        <v>3.37</v>
      </c>
      <c r="D10" s="22">
        <v>105</v>
      </c>
      <c r="E10" s="25">
        <f>ROUND((B10/C10)*100,3)</f>
        <v>104.748</v>
      </c>
    </row>
    <row r="11" spans="1:5" ht="17.5" customHeight="1">
      <c r="A11" s="68">
        <v>1859</v>
      </c>
      <c r="B11" s="69">
        <v>4.17</v>
      </c>
      <c r="C11" s="69">
        <v>4.0999999999999996</v>
      </c>
      <c r="D11" s="22">
        <v>102</v>
      </c>
      <c r="E11" s="25">
        <f>ROUND((B11/C11)*100,3)</f>
        <v>101.70699999999999</v>
      </c>
    </row>
    <row r="12" spans="1:5" ht="17.5" customHeight="1">
      <c r="A12" s="70"/>
      <c r="B12" s="6"/>
      <c r="C12" s="69"/>
      <c r="D12" s="6"/>
      <c r="E12" s="6"/>
    </row>
    <row r="13" spans="1:5" ht="17.5" customHeight="1">
      <c r="A13" s="71" t="s">
        <v>250</v>
      </c>
      <c r="B13" s="27"/>
      <c r="C13" s="69">
        <v>1.56</v>
      </c>
      <c r="D13" s="27"/>
      <c r="E13" s="6"/>
    </row>
    <row r="14" spans="1:5" ht="17.5" customHeight="1">
      <c r="A14" s="71" t="s">
        <v>251</v>
      </c>
      <c r="B14" s="27"/>
      <c r="C14" s="69">
        <v>1.94</v>
      </c>
      <c r="D14" s="27"/>
      <c r="E14" s="6"/>
    </row>
    <row r="15" spans="1:5" ht="17.5" customHeight="1">
      <c r="A15" s="71" t="s">
        <v>252</v>
      </c>
      <c r="B15" s="27"/>
      <c r="C15" s="69">
        <v>2.54</v>
      </c>
      <c r="D15" s="27"/>
      <c r="E15" s="6"/>
    </row>
    <row r="16" spans="1:5" ht="17.5" customHeight="1">
      <c r="A16" s="71" t="s">
        <v>253</v>
      </c>
      <c r="B16" s="27"/>
      <c r="C16" s="69">
        <v>3.3</v>
      </c>
      <c r="D16" s="27"/>
      <c r="E16" s="6"/>
    </row>
    <row r="17" spans="1:5" ht="17.5" customHeight="1">
      <c r="A17" s="70"/>
      <c r="B17" s="6"/>
      <c r="C17" s="69"/>
      <c r="D17" s="6"/>
      <c r="E17" s="6"/>
    </row>
    <row r="18" spans="1:5" ht="17.5" customHeight="1">
      <c r="A18" s="71" t="s">
        <v>254</v>
      </c>
      <c r="B18" s="22">
        <v>7.87</v>
      </c>
      <c r="C18" s="69">
        <v>6.4</v>
      </c>
      <c r="D18" s="22">
        <v>123</v>
      </c>
      <c r="E18" s="25">
        <f t="shared" ref="E18:E24" si="0">ROUND((B18/C18)*100,3)</f>
        <v>122.96899999999999</v>
      </c>
    </row>
    <row r="19" spans="1:5" ht="17.5" customHeight="1">
      <c r="A19" s="71" t="s">
        <v>255</v>
      </c>
      <c r="B19" s="22">
        <v>9.5399999999999991</v>
      </c>
      <c r="C19" s="69">
        <v>8.4</v>
      </c>
      <c r="D19" s="22">
        <v>115</v>
      </c>
      <c r="E19" s="25">
        <f t="shared" si="0"/>
        <v>113.571</v>
      </c>
    </row>
    <row r="20" spans="1:5" ht="17.5" customHeight="1">
      <c r="A20" s="71" t="s">
        <v>256</v>
      </c>
      <c r="B20" s="22">
        <v>11.2</v>
      </c>
      <c r="C20" s="69">
        <v>10.6</v>
      </c>
      <c r="D20" s="22">
        <v>106</v>
      </c>
      <c r="E20" s="25">
        <f t="shared" si="0"/>
        <v>105.66</v>
      </c>
    </row>
    <row r="21" spans="1:5" ht="17.5" customHeight="1">
      <c r="A21" s="71" t="s">
        <v>257</v>
      </c>
      <c r="B21" s="22">
        <v>12.3</v>
      </c>
      <c r="C21" s="69">
        <v>12.7</v>
      </c>
      <c r="D21" s="22">
        <v>97</v>
      </c>
      <c r="E21" s="25">
        <f t="shared" si="0"/>
        <v>96.85</v>
      </c>
    </row>
    <row r="22" spans="1:5" ht="17.5" customHeight="1">
      <c r="A22" s="71" t="s">
        <v>258</v>
      </c>
      <c r="B22" s="22">
        <v>13.2</v>
      </c>
      <c r="C22" s="69">
        <v>14.4</v>
      </c>
      <c r="D22" s="22">
        <v>92</v>
      </c>
      <c r="E22" s="25">
        <f t="shared" si="0"/>
        <v>91.667000000000002</v>
      </c>
    </row>
    <row r="23" spans="1:5" ht="17.5" customHeight="1">
      <c r="A23" s="71" t="s">
        <v>259</v>
      </c>
      <c r="B23" s="22">
        <v>16.2</v>
      </c>
      <c r="C23" s="69">
        <v>17.3</v>
      </c>
      <c r="D23" s="22">
        <v>94</v>
      </c>
      <c r="E23" s="25">
        <f t="shared" si="0"/>
        <v>93.641999999999996</v>
      </c>
    </row>
    <row r="24" spans="1:5" ht="17.5" customHeight="1">
      <c r="A24" s="71" t="s">
        <v>260</v>
      </c>
      <c r="B24" s="22">
        <v>22.4</v>
      </c>
      <c r="C24" s="69">
        <v>21.8</v>
      </c>
      <c r="D24" s="22">
        <v>103</v>
      </c>
      <c r="E24" s="25">
        <f t="shared" si="0"/>
        <v>102.752</v>
      </c>
    </row>
    <row r="25" spans="1:5" ht="13.75" customHeight="1">
      <c r="A25" s="6"/>
      <c r="B25" s="6"/>
      <c r="C25" s="6"/>
      <c r="D25" s="6"/>
      <c r="E25" s="6"/>
    </row>
    <row r="26" spans="1:5" ht="44.25" customHeight="1">
      <c r="A26" s="233" t="s">
        <v>261</v>
      </c>
      <c r="B26" s="234"/>
      <c r="C26" s="234"/>
      <c r="D26" s="234"/>
      <c r="E26" s="234"/>
    </row>
    <row r="27" spans="1:5" ht="17.5" customHeight="1">
      <c r="A27" s="8" t="s">
        <v>262</v>
      </c>
      <c r="B27" s="6"/>
      <c r="C27" s="6"/>
      <c r="D27" s="6"/>
      <c r="E27" s="6"/>
    </row>
    <row r="28" spans="1:5" ht="13.75" customHeight="1">
      <c r="A28" s="6"/>
      <c r="B28" s="6"/>
      <c r="C28" s="6"/>
      <c r="D28" s="6"/>
      <c r="E28" s="6"/>
    </row>
  </sheetData>
  <mergeCells count="2">
    <mergeCell ref="A26:E26"/>
    <mergeCell ref="A2:E2"/>
  </mergeCells>
  <pageMargins left="0.75" right="0.75" top="1" bottom="1" header="0.5" footer="0.5"/>
  <pageSetup orientation="portrait"/>
  <headerFooter>
    <oddFooter>&amp;C&amp;"Helvetica Neue,Regular"&amp;12&amp;K000000&amp;P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6"/>
  <sheetViews>
    <sheetView showGridLines="0" workbookViewId="0"/>
  </sheetViews>
  <sheetFormatPr baseColWidth="10" defaultColWidth="9.1640625" defaultRowHeight="16" customHeight="1"/>
  <cols>
    <col min="1" max="1" width="9.1640625" style="4" customWidth="1"/>
    <col min="2" max="2" width="14.83203125" style="4" customWidth="1"/>
    <col min="3" max="3" width="11.5" style="4" customWidth="1"/>
    <col min="4" max="4" width="11.83203125" style="4" customWidth="1"/>
    <col min="5" max="6" width="15.1640625" style="4" customWidth="1"/>
    <col min="7" max="7" width="18.6640625" style="4" customWidth="1"/>
    <col min="8" max="8" width="17.83203125" style="4" customWidth="1"/>
    <col min="9" max="9" width="9.1640625" style="4" customWidth="1"/>
    <col min="10" max="16384" width="9.1640625" style="4"/>
  </cols>
  <sheetData>
    <row r="1" spans="1:8" ht="17.5" customHeight="1">
      <c r="A1" s="8" t="s">
        <v>264</v>
      </c>
      <c r="B1" s="6"/>
      <c r="C1" s="6"/>
      <c r="D1" s="6"/>
      <c r="E1" s="6"/>
      <c r="F1" s="6"/>
      <c r="G1" s="6"/>
      <c r="H1" s="6"/>
    </row>
    <row r="2" spans="1:8" ht="17.5" customHeight="1">
      <c r="A2" s="8" t="s">
        <v>265</v>
      </c>
      <c r="B2" s="6"/>
      <c r="C2" s="6"/>
      <c r="D2" s="6"/>
      <c r="E2" s="6"/>
      <c r="F2" s="6"/>
      <c r="G2" s="6"/>
      <c r="H2" s="6"/>
    </row>
    <row r="3" spans="1:8" ht="17.5" customHeight="1">
      <c r="A3" s="8" t="s">
        <v>266</v>
      </c>
      <c r="B3" s="6"/>
      <c r="C3" s="6"/>
      <c r="D3" s="6"/>
      <c r="E3" s="6"/>
      <c r="F3" s="6"/>
      <c r="G3" s="6"/>
      <c r="H3" s="6"/>
    </row>
    <row r="4" spans="1:8" ht="43.5" customHeight="1">
      <c r="A4" s="6"/>
      <c r="B4" s="6"/>
      <c r="C4" s="6"/>
      <c r="D4" s="6"/>
      <c r="E4" s="6"/>
      <c r="F4" s="6"/>
      <c r="G4" s="235" t="s">
        <v>267</v>
      </c>
      <c r="H4" s="236"/>
    </row>
    <row r="5" spans="1:8" ht="85" customHeight="1">
      <c r="A5" s="8" t="s">
        <v>268</v>
      </c>
      <c r="B5" s="8" t="s">
        <v>269</v>
      </c>
      <c r="C5" s="12" t="s">
        <v>270</v>
      </c>
      <c r="D5" s="8" t="s">
        <v>271</v>
      </c>
      <c r="E5" s="12" t="s">
        <v>272</v>
      </c>
      <c r="F5" s="12" t="s">
        <v>273</v>
      </c>
      <c r="G5" s="12" t="s">
        <v>274</v>
      </c>
      <c r="H5" s="12" t="s">
        <v>275</v>
      </c>
    </row>
    <row r="6" spans="1:8" ht="17.5" customHeight="1">
      <c r="A6" s="42">
        <v>1774</v>
      </c>
      <c r="B6" s="34">
        <v>144</v>
      </c>
      <c r="C6" s="34">
        <v>97</v>
      </c>
      <c r="D6" s="34">
        <v>149</v>
      </c>
      <c r="E6" s="6"/>
      <c r="F6" s="6"/>
      <c r="G6" s="6"/>
      <c r="H6" s="6"/>
    </row>
    <row r="7" spans="1:8" ht="17.5" customHeight="1">
      <c r="A7" s="42">
        <v>1793</v>
      </c>
      <c r="B7" s="34">
        <v>317</v>
      </c>
      <c r="C7" s="34">
        <v>119</v>
      </c>
      <c r="D7" s="34">
        <v>266</v>
      </c>
      <c r="E7" s="6"/>
      <c r="F7" s="6"/>
      <c r="G7" s="6"/>
      <c r="H7" s="6"/>
    </row>
    <row r="8" spans="1:8" ht="17.5" customHeight="1">
      <c r="A8" s="42">
        <v>1800</v>
      </c>
      <c r="B8" s="34">
        <v>544</v>
      </c>
      <c r="C8" s="34">
        <v>151</v>
      </c>
      <c r="D8" s="34">
        <v>360</v>
      </c>
      <c r="E8" s="6"/>
      <c r="F8" s="6"/>
      <c r="G8" s="6"/>
      <c r="H8" s="6"/>
    </row>
    <row r="9" spans="1:8" ht="17.5" customHeight="1">
      <c r="A9" s="42">
        <v>1807</v>
      </c>
      <c r="B9" s="34">
        <v>680</v>
      </c>
      <c r="C9" s="34">
        <v>139</v>
      </c>
      <c r="D9" s="34">
        <v>489</v>
      </c>
      <c r="E9" s="6"/>
      <c r="F9" s="6"/>
      <c r="G9" s="6"/>
      <c r="H9" s="6"/>
    </row>
    <row r="10" spans="1:8" ht="17.5" customHeight="1">
      <c r="A10" s="42">
        <v>1810</v>
      </c>
      <c r="B10" s="34">
        <v>765</v>
      </c>
      <c r="C10" s="34">
        <v>148</v>
      </c>
      <c r="D10" s="34">
        <v>517</v>
      </c>
      <c r="E10" s="6"/>
      <c r="F10" s="6"/>
      <c r="G10" s="6"/>
      <c r="H10" s="6"/>
    </row>
    <row r="11" spans="1:8" ht="17.5" customHeight="1">
      <c r="A11" s="42">
        <v>1820</v>
      </c>
      <c r="B11" s="34">
        <v>1079</v>
      </c>
      <c r="C11" s="34">
        <v>141</v>
      </c>
      <c r="D11" s="34">
        <v>765</v>
      </c>
      <c r="E11" s="6"/>
      <c r="F11" s="6"/>
      <c r="G11" s="6"/>
      <c r="H11" s="6"/>
    </row>
    <row r="12" spans="1:8" ht="17.5" customHeight="1">
      <c r="A12" s="42">
        <v>1830</v>
      </c>
      <c r="B12" s="34">
        <v>1229</v>
      </c>
      <c r="C12" s="34">
        <v>111</v>
      </c>
      <c r="D12" s="34">
        <v>1107</v>
      </c>
      <c r="E12" s="6"/>
      <c r="F12" s="6"/>
      <c r="G12" s="6"/>
      <c r="H12" s="6"/>
    </row>
    <row r="13" spans="1:8" ht="17.5" customHeight="1">
      <c r="A13" s="35" t="s">
        <v>276</v>
      </c>
      <c r="B13" s="34">
        <v>1803</v>
      </c>
      <c r="C13" s="34">
        <v>112</v>
      </c>
      <c r="D13" s="34">
        <v>1610</v>
      </c>
      <c r="E13" s="34">
        <v>1560.18</v>
      </c>
      <c r="F13" s="34"/>
      <c r="G13" s="32">
        <f t="shared" ref="G13:G18" si="0">(D13-E13)/E13</f>
        <v>3.1932212949787805E-2</v>
      </c>
      <c r="H13" s="34"/>
    </row>
    <row r="14" spans="1:8" ht="17.5" customHeight="1">
      <c r="A14" s="35" t="s">
        <v>277</v>
      </c>
      <c r="B14" s="34">
        <v>1951</v>
      </c>
      <c r="C14" s="34">
        <v>97.4</v>
      </c>
      <c r="D14" s="34">
        <v>2003</v>
      </c>
      <c r="E14" s="34">
        <v>1941.36</v>
      </c>
      <c r="F14" s="34"/>
      <c r="G14" s="32">
        <f t="shared" si="0"/>
        <v>3.1750937487122481E-2</v>
      </c>
      <c r="H14" s="32">
        <f>AVERAGE(G13:G14)</f>
        <v>3.184157521845514E-2</v>
      </c>
    </row>
    <row r="15" spans="1:8" ht="17.5" customHeight="1">
      <c r="A15" s="35" t="s">
        <v>278</v>
      </c>
      <c r="B15" s="34">
        <v>2649</v>
      </c>
      <c r="C15" s="34">
        <v>100.8</v>
      </c>
      <c r="D15" s="34">
        <v>2628</v>
      </c>
      <c r="E15" s="34">
        <v>2548.86</v>
      </c>
      <c r="F15" s="34"/>
      <c r="G15" s="32">
        <f t="shared" si="0"/>
        <v>3.1049174925260652E-2</v>
      </c>
      <c r="H15" s="6"/>
    </row>
    <row r="16" spans="1:8" ht="17.5" customHeight="1">
      <c r="A16" s="35" t="s">
        <v>279</v>
      </c>
      <c r="B16" s="34">
        <v>3474</v>
      </c>
      <c r="C16" s="34">
        <v>102.3</v>
      </c>
      <c r="D16" s="34">
        <v>3397</v>
      </c>
      <c r="E16" s="34">
        <v>3295.79</v>
      </c>
      <c r="F16" s="34"/>
      <c r="G16" s="32">
        <f t="shared" si="0"/>
        <v>3.0708874048407223E-2</v>
      </c>
      <c r="H16" s="32">
        <f>AVERAGE(G15:G16)</f>
        <v>3.0879024486833939E-2</v>
      </c>
    </row>
    <row r="17" spans="1:8" ht="17.5" customHeight="1">
      <c r="A17" s="42">
        <v>1859</v>
      </c>
      <c r="B17" s="34"/>
      <c r="C17" s="34"/>
      <c r="D17" s="34">
        <v>4226</v>
      </c>
      <c r="E17" s="34">
        <v>4099.8999999999996</v>
      </c>
      <c r="F17" s="34"/>
      <c r="G17" s="32">
        <f t="shared" si="0"/>
        <v>3.0756847727993458E-2</v>
      </c>
      <c r="H17" s="6"/>
    </row>
    <row r="18" spans="1:8" ht="17.5" customHeight="1">
      <c r="A18" s="42">
        <v>1869</v>
      </c>
      <c r="B18" s="34"/>
      <c r="C18" s="34"/>
      <c r="D18" s="34">
        <v>5547</v>
      </c>
      <c r="E18" s="34">
        <v>5347</v>
      </c>
      <c r="F18" s="34"/>
      <c r="G18" s="32">
        <f t="shared" si="0"/>
        <v>3.7404151860856556E-2</v>
      </c>
      <c r="H18" s="6"/>
    </row>
    <row r="19" spans="1:8" ht="17.5" customHeight="1">
      <c r="A19" s="35" t="s">
        <v>280</v>
      </c>
      <c r="B19" s="34">
        <v>8009</v>
      </c>
      <c r="C19" s="34">
        <v>120.7</v>
      </c>
      <c r="D19" s="34">
        <v>6633</v>
      </c>
      <c r="E19" s="6"/>
      <c r="F19" s="25">
        <f>AVERAGE('S20-Rhode Table 3'!Z12:Z21)</f>
        <v>7879.2</v>
      </c>
      <c r="G19" s="32">
        <f>(B19-F19)/F19</f>
        <v>1.6473753680576731E-2</v>
      </c>
      <c r="H19" s="32"/>
    </row>
    <row r="20" spans="1:8" ht="17.5" customHeight="1">
      <c r="A20" s="35" t="s">
        <v>281</v>
      </c>
      <c r="B20" s="34">
        <v>9736</v>
      </c>
      <c r="C20" s="34">
        <v>111.8</v>
      </c>
      <c r="D20" s="34">
        <v>8711</v>
      </c>
      <c r="E20" s="6"/>
      <c r="F20" s="25">
        <f>AVERAGE('S20-Rhode Table 3'!Z17:Z26)</f>
        <v>9543</v>
      </c>
      <c r="G20" s="32">
        <f>(B20-F20)/F20</f>
        <v>2.0224248139997906E-2</v>
      </c>
      <c r="H20" s="32">
        <f>AVERAGE(G19:G20)</f>
        <v>1.8349000910287318E-2</v>
      </c>
    </row>
    <row r="21" spans="1:8" ht="17.5" customHeight="1">
      <c r="A21" s="35" t="s">
        <v>282</v>
      </c>
      <c r="B21" s="34">
        <v>11467</v>
      </c>
      <c r="C21" s="34">
        <v>104.4</v>
      </c>
      <c r="D21" s="34">
        <v>10987</v>
      </c>
      <c r="E21" s="6"/>
      <c r="F21" s="25">
        <f>AVERAGE('S20-Rhode Table 3'!Z22:Z31)</f>
        <v>11197.2</v>
      </c>
      <c r="G21" s="32">
        <f>(B21-F21)/F21</f>
        <v>2.4095309541671064E-2</v>
      </c>
      <c r="H21" s="6"/>
    </row>
    <row r="22" spans="1:8" ht="17.5" customHeight="1">
      <c r="A22" s="35" t="s">
        <v>283</v>
      </c>
      <c r="B22" s="34">
        <v>12536</v>
      </c>
      <c r="C22" s="34">
        <v>97.1</v>
      </c>
      <c r="D22" s="34">
        <v>12915</v>
      </c>
      <c r="E22" s="6"/>
      <c r="F22" s="6"/>
      <c r="G22" s="6"/>
      <c r="H22" s="6"/>
    </row>
    <row r="23" spans="1:8" ht="17.5" customHeight="1">
      <c r="A23" s="35" t="s">
        <v>284</v>
      </c>
      <c r="B23" s="34">
        <v>13464</v>
      </c>
      <c r="C23" s="34">
        <v>91.9</v>
      </c>
      <c r="D23" s="34">
        <v>14655</v>
      </c>
      <c r="E23" s="6"/>
      <c r="F23" s="6"/>
      <c r="G23" s="6"/>
      <c r="H23" s="6"/>
    </row>
    <row r="24" spans="1:8" ht="17.5" customHeight="1">
      <c r="A24" s="35" t="s">
        <v>285</v>
      </c>
      <c r="B24" s="34">
        <v>16335</v>
      </c>
      <c r="C24" s="34">
        <v>93.1</v>
      </c>
      <c r="D24" s="34">
        <v>17546</v>
      </c>
      <c r="E24" s="6"/>
      <c r="F24" s="6"/>
      <c r="G24" s="6"/>
      <c r="H24" s="6"/>
    </row>
    <row r="25" spans="1:8" ht="17.5" customHeight="1">
      <c r="A25" s="35" t="s">
        <v>286</v>
      </c>
      <c r="B25" s="34">
        <v>22588</v>
      </c>
      <c r="C25" s="34">
        <v>103.1</v>
      </c>
      <c r="D25" s="34">
        <v>21903</v>
      </c>
      <c r="E25" s="6"/>
      <c r="F25" s="6"/>
      <c r="G25" s="6"/>
      <c r="H25" s="6"/>
    </row>
    <row r="26" spans="1:8" ht="17.5" customHeight="1">
      <c r="A26" s="42">
        <v>1909</v>
      </c>
      <c r="B26" s="34"/>
      <c r="C26" s="34"/>
      <c r="D26" s="34">
        <v>25968</v>
      </c>
      <c r="E26" s="6"/>
      <c r="F26" s="6"/>
      <c r="G26" s="6"/>
      <c r="H26" s="6"/>
    </row>
  </sheetData>
  <mergeCells count="1">
    <mergeCell ref="G4:H4"/>
  </mergeCells>
  <pageMargins left="0.75" right="0.75" top="1" bottom="1" header="0.5" footer="0.5"/>
  <pageSetup orientation="portrait"/>
  <headerFooter>
    <oddFooter>&amp;C&amp;"Helvetica Neue,Regular"&amp;12&amp;K000000&amp;P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3"/>
  <sheetViews>
    <sheetView showGridLines="0" workbookViewId="0"/>
  </sheetViews>
  <sheetFormatPr baseColWidth="10" defaultColWidth="9.1640625" defaultRowHeight="16" customHeight="1"/>
  <cols>
    <col min="1" max="1" width="15.33203125" style="4" customWidth="1"/>
    <col min="2" max="2" width="13.5" style="4" customWidth="1"/>
    <col min="3" max="3" width="11.33203125" style="4" customWidth="1"/>
    <col min="4" max="4" width="12.33203125" style="4" customWidth="1"/>
    <col min="5" max="6" width="17.6640625" style="4" customWidth="1"/>
    <col min="7" max="7" width="14.1640625" style="4" customWidth="1"/>
    <col min="8" max="8" width="12.6640625" style="4" customWidth="1"/>
    <col min="9" max="9" width="11.33203125" style="4" customWidth="1"/>
    <col min="10" max="10" width="9.1640625" style="4" customWidth="1"/>
    <col min="11" max="16384" width="9.1640625" style="4"/>
  </cols>
  <sheetData>
    <row r="1" spans="1:9" ht="17.5" customHeight="1">
      <c r="A1" s="8" t="s">
        <v>288</v>
      </c>
      <c r="B1" s="6"/>
      <c r="C1" s="6"/>
      <c r="D1" s="6"/>
      <c r="E1" s="6"/>
      <c r="F1" s="6"/>
      <c r="G1" s="6"/>
      <c r="H1" s="6"/>
      <c r="I1" s="6"/>
    </row>
    <row r="2" spans="1:9" ht="17.5" customHeight="1">
      <c r="A2" s="235" t="s">
        <v>289</v>
      </c>
      <c r="B2" s="236"/>
      <c r="C2" s="15"/>
      <c r="D2" s="15"/>
      <c r="E2" s="15"/>
      <c r="F2" s="15"/>
      <c r="G2" s="15"/>
      <c r="H2" s="6"/>
      <c r="I2" s="6"/>
    </row>
    <row r="3" spans="1:9" ht="17.5" customHeight="1">
      <c r="A3" s="8" t="s">
        <v>243</v>
      </c>
      <c r="B3" s="6"/>
      <c r="C3" s="6"/>
      <c r="D3" s="6"/>
      <c r="E3" s="6"/>
      <c r="F3" s="6"/>
      <c r="G3" s="6"/>
      <c r="H3" s="6"/>
      <c r="I3" s="6"/>
    </row>
    <row r="4" spans="1:9" ht="17.5" customHeight="1">
      <c r="A4" s="8" t="s">
        <v>290</v>
      </c>
      <c r="B4" s="6"/>
      <c r="C4" s="6"/>
      <c r="D4" s="6"/>
      <c r="E4" s="6"/>
      <c r="F4" s="6"/>
      <c r="G4" s="6"/>
      <c r="H4" s="6"/>
      <c r="I4" s="6"/>
    </row>
    <row r="5" spans="1:9" ht="13.75" customHeight="1">
      <c r="A5" s="6"/>
      <c r="B5" s="6"/>
      <c r="C5" s="6"/>
      <c r="D5" s="6"/>
      <c r="E5" s="6"/>
      <c r="F5" s="6"/>
      <c r="G5" s="6"/>
      <c r="H5" s="6"/>
      <c r="I5" s="6"/>
    </row>
    <row r="6" spans="1:9" ht="17.5" customHeight="1">
      <c r="A6" s="8" t="s">
        <v>291</v>
      </c>
      <c r="B6" s="6"/>
      <c r="C6" s="6"/>
      <c r="D6" s="6"/>
      <c r="E6" s="6"/>
      <c r="F6" s="6"/>
      <c r="G6" s="6"/>
      <c r="H6" s="6"/>
      <c r="I6" s="6"/>
    </row>
    <row r="7" spans="1:9" ht="13.75" customHeight="1">
      <c r="A7" s="6"/>
      <c r="B7" s="6"/>
      <c r="C7" s="6"/>
      <c r="D7" s="6"/>
      <c r="E7" s="6"/>
      <c r="F7" s="6"/>
      <c r="G7" s="6"/>
      <c r="H7" s="6"/>
      <c r="I7" s="6"/>
    </row>
    <row r="8" spans="1:9" ht="51" customHeight="1">
      <c r="A8" s="8" t="s">
        <v>245</v>
      </c>
      <c r="B8" s="21" t="s">
        <v>292</v>
      </c>
      <c r="C8" s="21" t="s">
        <v>293</v>
      </c>
      <c r="D8" s="21" t="s">
        <v>294</v>
      </c>
      <c r="E8" s="21" t="s">
        <v>295</v>
      </c>
      <c r="F8" s="21" t="s">
        <v>296</v>
      </c>
      <c r="G8" s="21" t="s">
        <v>297</v>
      </c>
      <c r="H8" s="21" t="s">
        <v>298</v>
      </c>
      <c r="I8" s="21" t="s">
        <v>299</v>
      </c>
    </row>
    <row r="9" spans="1:9" ht="17.5" customHeight="1">
      <c r="A9" s="68">
        <v>1839</v>
      </c>
      <c r="B9" s="23">
        <v>0.77500000000000002</v>
      </c>
      <c r="C9" s="23">
        <v>0.16</v>
      </c>
      <c r="D9" s="23">
        <v>4.3999999999999997E-2</v>
      </c>
      <c r="E9" s="23">
        <v>0.36599999999999999</v>
      </c>
      <c r="F9" s="22">
        <v>1.35</v>
      </c>
      <c r="G9" s="69">
        <f>B9+C9+D9+E9</f>
        <v>1.3450000000000002</v>
      </c>
      <c r="H9" s="6"/>
      <c r="I9" s="6"/>
    </row>
    <row r="10" spans="1:9" ht="17.5" customHeight="1">
      <c r="A10" s="68">
        <v>1844</v>
      </c>
      <c r="B10" s="23">
        <v>0.80400000000000005</v>
      </c>
      <c r="C10" s="23">
        <v>0.26</v>
      </c>
      <c r="D10" s="23">
        <v>6.9000000000000006E-2</v>
      </c>
      <c r="E10" s="23">
        <v>0.47399999999999998</v>
      </c>
      <c r="F10" s="22">
        <v>1.61</v>
      </c>
      <c r="G10" s="69">
        <f>B10+C10+D10+E10</f>
        <v>1.607</v>
      </c>
      <c r="H10" s="6"/>
      <c r="I10" s="6"/>
    </row>
    <row r="11" spans="1:9" ht="17.5" customHeight="1">
      <c r="A11" s="68">
        <v>1849</v>
      </c>
      <c r="B11" s="23">
        <v>1.03</v>
      </c>
      <c r="C11" s="23">
        <v>0.36399999999999999</v>
      </c>
      <c r="D11" s="23">
        <v>0.113</v>
      </c>
      <c r="E11" s="23">
        <v>0.56399999999999995</v>
      </c>
      <c r="F11" s="22">
        <v>2.0699999999999998</v>
      </c>
      <c r="G11" s="69">
        <f>B11+C11+D11+E11</f>
        <v>2.0710000000000002</v>
      </c>
      <c r="H11" s="6"/>
      <c r="I11" s="6"/>
    </row>
    <row r="12" spans="1:9" ht="17.5" customHeight="1">
      <c r="A12" s="68">
        <v>1854</v>
      </c>
      <c r="B12" s="23">
        <v>1.6</v>
      </c>
      <c r="C12" s="23">
        <v>0.46600000000000003</v>
      </c>
      <c r="D12" s="23">
        <v>0.18</v>
      </c>
      <c r="E12" s="23">
        <v>0.74399999999999999</v>
      </c>
      <c r="F12" s="22">
        <v>2.99</v>
      </c>
      <c r="G12" s="69">
        <f>B12+C12+D12+E12</f>
        <v>2.99</v>
      </c>
      <c r="H12" s="6"/>
      <c r="I12" s="6"/>
    </row>
    <row r="13" spans="1:9" ht="17.5" customHeight="1">
      <c r="A13" s="68">
        <v>1859</v>
      </c>
      <c r="B13" s="23">
        <v>1.87</v>
      </c>
      <c r="C13" s="23">
        <v>0.623</v>
      </c>
      <c r="D13" s="23">
        <v>0.20699999999999999</v>
      </c>
      <c r="E13" s="23">
        <v>0.92400000000000004</v>
      </c>
      <c r="F13" s="22">
        <v>3.63</v>
      </c>
      <c r="G13" s="69">
        <f>B13+C13+D13+E13</f>
        <v>3.6240000000000001</v>
      </c>
      <c r="H13" s="6"/>
      <c r="I13" s="6"/>
    </row>
    <row r="14" spans="1:9" ht="17.5" customHeight="1">
      <c r="A14" s="70"/>
      <c r="B14" s="23"/>
      <c r="C14" s="23"/>
      <c r="D14" s="23"/>
      <c r="E14" s="6"/>
      <c r="F14" s="6"/>
      <c r="G14" s="6"/>
      <c r="H14" s="6"/>
      <c r="I14" s="6"/>
    </row>
    <row r="15" spans="1:9" ht="17.5" customHeight="1">
      <c r="A15" s="71" t="s">
        <v>254</v>
      </c>
      <c r="B15" s="23">
        <v>3.34</v>
      </c>
      <c r="C15" s="23">
        <v>1.08</v>
      </c>
      <c r="D15" s="23">
        <v>0.44900000000000001</v>
      </c>
      <c r="E15" s="23">
        <v>1.64</v>
      </c>
      <c r="F15" s="22">
        <v>6.51</v>
      </c>
      <c r="G15" s="69">
        <f>B15+C15+D15+E15</f>
        <v>6.5089999999999995</v>
      </c>
      <c r="H15" s="6"/>
      <c r="I15" s="6"/>
    </row>
    <row r="16" spans="1:9" ht="17.5" customHeight="1">
      <c r="A16" s="71" t="s">
        <v>255</v>
      </c>
      <c r="B16" s="23">
        <v>4.04</v>
      </c>
      <c r="C16" s="23">
        <v>1.28</v>
      </c>
      <c r="D16" s="23">
        <v>0.51800000000000002</v>
      </c>
      <c r="E16" s="23">
        <v>2.0299999999999998</v>
      </c>
      <c r="F16" s="22">
        <v>7.88</v>
      </c>
      <c r="G16" s="69">
        <f t="shared" ref="G16:G21" si="0">B15+C15+D15+E16</f>
        <v>6.8989999999999991</v>
      </c>
      <c r="H16" s="6"/>
      <c r="I16" s="6"/>
    </row>
    <row r="17" spans="1:9" ht="17.5" customHeight="1">
      <c r="A17" s="71" t="s">
        <v>256</v>
      </c>
      <c r="B17" s="23">
        <v>4.5199999999999996</v>
      </c>
      <c r="C17" s="23">
        <v>1.51</v>
      </c>
      <c r="D17" s="23">
        <v>0.64600000000000002</v>
      </c>
      <c r="E17" s="23">
        <v>2.4</v>
      </c>
      <c r="F17" s="22">
        <v>9.08</v>
      </c>
      <c r="G17" s="69">
        <f t="shared" si="0"/>
        <v>8.2379999999999995</v>
      </c>
      <c r="H17" s="6"/>
      <c r="I17" s="6"/>
    </row>
    <row r="18" spans="1:9" ht="17.5" customHeight="1">
      <c r="A18" s="71" t="s">
        <v>257</v>
      </c>
      <c r="B18" s="23">
        <v>4.6399999999999997</v>
      </c>
      <c r="C18" s="23">
        <v>1.64</v>
      </c>
      <c r="D18" s="23">
        <v>0.76200000000000001</v>
      </c>
      <c r="E18" s="23">
        <v>2.59</v>
      </c>
      <c r="F18" s="22">
        <v>9.6300000000000008</v>
      </c>
      <c r="G18" s="69">
        <f t="shared" si="0"/>
        <v>9.2659999999999982</v>
      </c>
      <c r="H18" s="6"/>
      <c r="I18" s="6"/>
    </row>
    <row r="19" spans="1:9" ht="17.5" customHeight="1">
      <c r="A19" s="71" t="s">
        <v>258</v>
      </c>
      <c r="B19" s="23">
        <v>4.96</v>
      </c>
      <c r="C19" s="23">
        <v>1.7</v>
      </c>
      <c r="D19" s="23">
        <v>0.78600000000000003</v>
      </c>
      <c r="E19" s="23">
        <v>2.88</v>
      </c>
      <c r="F19" s="22">
        <v>10.3</v>
      </c>
      <c r="G19" s="69">
        <f t="shared" si="0"/>
        <v>9.9220000000000006</v>
      </c>
      <c r="H19" s="6"/>
      <c r="I19" s="6"/>
    </row>
    <row r="20" spans="1:9" ht="17.5" customHeight="1">
      <c r="A20" s="71" t="s">
        <v>259</v>
      </c>
      <c r="B20" s="23">
        <v>6.18</v>
      </c>
      <c r="C20" s="23">
        <v>2</v>
      </c>
      <c r="D20" s="23">
        <v>0.93600000000000005</v>
      </c>
      <c r="E20" s="23">
        <v>3.76</v>
      </c>
      <c r="F20" s="22">
        <v>12.9</v>
      </c>
      <c r="G20" s="69">
        <f t="shared" si="0"/>
        <v>11.206</v>
      </c>
      <c r="H20" s="6"/>
      <c r="I20" s="6"/>
    </row>
    <row r="21" spans="1:9" ht="17.5" customHeight="1">
      <c r="A21" s="71" t="s">
        <v>260</v>
      </c>
      <c r="B21" s="23">
        <v>8.24</v>
      </c>
      <c r="C21" s="23">
        <v>2.79</v>
      </c>
      <c r="D21" s="23">
        <v>1.35</v>
      </c>
      <c r="E21" s="23">
        <v>5.36</v>
      </c>
      <c r="F21" s="22">
        <v>17.7</v>
      </c>
      <c r="G21" s="69">
        <f t="shared" si="0"/>
        <v>14.475999999999999</v>
      </c>
      <c r="H21" s="6"/>
      <c r="I21" s="6"/>
    </row>
    <row r="22" spans="1:9" ht="17.5" customHeight="1">
      <c r="A22" s="70"/>
      <c r="B22" s="6"/>
      <c r="C22" s="69"/>
      <c r="D22" s="6"/>
      <c r="E22" s="25"/>
      <c r="F22" s="6"/>
      <c r="G22" s="6"/>
      <c r="H22" s="6"/>
      <c r="I22" s="6"/>
    </row>
    <row r="23" spans="1:9" ht="17.5" customHeight="1">
      <c r="A23" s="8" t="s">
        <v>300</v>
      </c>
      <c r="B23" s="6"/>
      <c r="C23" s="6"/>
      <c r="D23" s="6"/>
      <c r="E23" s="6"/>
      <c r="F23" s="6"/>
      <c r="G23" s="6"/>
      <c r="H23" s="6"/>
      <c r="I23" s="6"/>
    </row>
    <row r="24" spans="1:9" ht="13.75" customHeight="1">
      <c r="A24" s="6"/>
      <c r="B24" s="6"/>
      <c r="C24" s="6"/>
      <c r="D24" s="6"/>
      <c r="E24" s="6"/>
      <c r="F24" s="6"/>
      <c r="G24" s="6"/>
      <c r="H24" s="6"/>
      <c r="I24" s="6"/>
    </row>
    <row r="25" spans="1:9" ht="51" customHeight="1">
      <c r="A25" s="8" t="s">
        <v>245</v>
      </c>
      <c r="B25" s="21" t="s">
        <v>292</v>
      </c>
      <c r="C25" s="21" t="s">
        <v>293</v>
      </c>
      <c r="D25" s="21" t="s">
        <v>294</v>
      </c>
      <c r="E25" s="21" t="s">
        <v>295</v>
      </c>
      <c r="F25" s="21" t="s">
        <v>296</v>
      </c>
      <c r="G25" s="21" t="s">
        <v>297</v>
      </c>
      <c r="H25" s="6"/>
      <c r="I25" s="6"/>
    </row>
    <row r="26" spans="1:9" ht="17.5" customHeight="1">
      <c r="A26" s="68">
        <v>1839</v>
      </c>
      <c r="B26" s="69">
        <v>0.82599999999999996</v>
      </c>
      <c r="C26" s="69">
        <v>0.108</v>
      </c>
      <c r="D26" s="22">
        <v>3.1E-2</v>
      </c>
      <c r="E26" s="23">
        <v>0.45700000000000002</v>
      </c>
      <c r="F26" s="23">
        <v>1.42</v>
      </c>
      <c r="G26" s="23">
        <f>B26+C26+D26+E26</f>
        <v>1.4219999999999999</v>
      </c>
      <c r="H26" s="22">
        <v>94</v>
      </c>
      <c r="I26" s="25">
        <f>(F9/F26)*100</f>
        <v>95.070422535211279</v>
      </c>
    </row>
    <row r="27" spans="1:9" ht="17.5" customHeight="1">
      <c r="A27" s="68">
        <v>1844</v>
      </c>
      <c r="B27" s="69">
        <v>1.01</v>
      </c>
      <c r="C27" s="69">
        <v>0.217</v>
      </c>
      <c r="D27" s="22">
        <v>5.1999999999999998E-2</v>
      </c>
      <c r="E27" s="23">
        <v>0.502</v>
      </c>
      <c r="F27" s="23">
        <v>1.78</v>
      </c>
      <c r="G27" s="23">
        <f>B27+C27+D27+E27</f>
        <v>1.7810000000000001</v>
      </c>
      <c r="H27" s="22">
        <v>90</v>
      </c>
      <c r="I27" s="25">
        <f>(F10/F27)*100</f>
        <v>90.449438202247194</v>
      </c>
    </row>
    <row r="28" spans="1:9" ht="17.5" customHeight="1">
      <c r="A28" s="68">
        <v>1849</v>
      </c>
      <c r="B28" s="69">
        <v>1.1499999999999999</v>
      </c>
      <c r="C28" s="69">
        <v>0.33500000000000002</v>
      </c>
      <c r="D28" s="22">
        <v>9.7000000000000003E-2</v>
      </c>
      <c r="E28" s="23">
        <v>0.59399999999999997</v>
      </c>
      <c r="F28" s="23">
        <v>2.17</v>
      </c>
      <c r="G28" s="23">
        <f>B28+C28+D28+E28</f>
        <v>2.1759999999999997</v>
      </c>
      <c r="H28" s="22">
        <v>95</v>
      </c>
      <c r="I28" s="25">
        <f>(F11/F28)*100</f>
        <v>95.391705069124427</v>
      </c>
    </row>
    <row r="29" spans="1:9" ht="17.5" customHeight="1">
      <c r="A29" s="68">
        <v>1854</v>
      </c>
      <c r="B29" s="69">
        <v>1.46</v>
      </c>
      <c r="C29" s="69">
        <v>0.44600000000000001</v>
      </c>
      <c r="D29" s="22">
        <v>0.16200000000000001</v>
      </c>
      <c r="E29" s="23">
        <v>0.75800000000000001</v>
      </c>
      <c r="F29" s="23">
        <v>2.82</v>
      </c>
      <c r="G29" s="23">
        <f>B29+C29+D29+E29</f>
        <v>2.8260000000000001</v>
      </c>
      <c r="H29" s="22">
        <v>106</v>
      </c>
      <c r="I29" s="25">
        <f>(F12/F29)*100</f>
        <v>106.02836879432624</v>
      </c>
    </row>
    <row r="30" spans="1:9" ht="17.5" customHeight="1">
      <c r="A30" s="68">
        <v>1859</v>
      </c>
      <c r="B30" s="69">
        <v>1.83</v>
      </c>
      <c r="C30" s="69">
        <v>0.623</v>
      </c>
      <c r="D30" s="22">
        <v>0.2</v>
      </c>
      <c r="E30" s="23">
        <v>0.91900000000000004</v>
      </c>
      <c r="F30" s="23">
        <v>3.57</v>
      </c>
      <c r="G30" s="23">
        <f>B30+C30+D30+E30</f>
        <v>3.5720000000000005</v>
      </c>
      <c r="H30" s="22">
        <v>102</v>
      </c>
      <c r="I30" s="25">
        <f>(F13/F30)*100</f>
        <v>101.68067226890756</v>
      </c>
    </row>
    <row r="31" spans="1:9" ht="17.5" customHeight="1">
      <c r="A31" s="70"/>
      <c r="B31" s="6"/>
      <c r="C31" s="69"/>
      <c r="D31" s="6"/>
      <c r="E31" s="23"/>
      <c r="F31" s="6"/>
      <c r="G31" s="6"/>
      <c r="H31" s="6"/>
      <c r="I31" s="6"/>
    </row>
    <row r="32" spans="1:9" ht="17.5" customHeight="1">
      <c r="A32" s="71" t="s">
        <v>250</v>
      </c>
      <c r="B32" s="22">
        <v>0.80900000000000005</v>
      </c>
      <c r="C32" s="69">
        <v>0.125</v>
      </c>
      <c r="D32" s="22">
        <v>3.3000000000000002E-2</v>
      </c>
      <c r="E32" s="23">
        <v>0.45400000000000001</v>
      </c>
      <c r="F32" s="23">
        <v>1.42</v>
      </c>
      <c r="G32" s="23">
        <f>B32+C32+D32+E32</f>
        <v>1.421</v>
      </c>
      <c r="H32" s="6"/>
      <c r="I32" s="6"/>
    </row>
    <row r="33" spans="1:9" ht="17.5" customHeight="1">
      <c r="A33" s="71" t="s">
        <v>251</v>
      </c>
      <c r="B33" s="22">
        <v>0.98499999999999999</v>
      </c>
      <c r="C33" s="69">
        <v>0.186</v>
      </c>
      <c r="D33" s="22">
        <v>5.2999999999999999E-2</v>
      </c>
      <c r="E33" s="23">
        <v>0.504</v>
      </c>
      <c r="F33" s="23">
        <v>1.72</v>
      </c>
      <c r="G33" s="23">
        <f>B33+C33+D33+E33</f>
        <v>1.728</v>
      </c>
      <c r="H33" s="6"/>
      <c r="I33" s="6"/>
    </row>
    <row r="34" spans="1:9" ht="17.5" customHeight="1">
      <c r="A34" s="71" t="s">
        <v>252</v>
      </c>
      <c r="B34" s="22">
        <v>1.19</v>
      </c>
      <c r="C34" s="69">
        <v>0.34799999999999998</v>
      </c>
      <c r="D34" s="22">
        <v>0.10100000000000001</v>
      </c>
      <c r="E34" s="23">
        <v>0.59299999999999997</v>
      </c>
      <c r="F34" s="23">
        <v>2.23</v>
      </c>
      <c r="G34" s="23">
        <f>B34+C34+D34+E34</f>
        <v>2.2319999999999998</v>
      </c>
      <c r="H34" s="6"/>
      <c r="I34" s="6"/>
    </row>
    <row r="35" spans="1:9" ht="17.5" customHeight="1">
      <c r="A35" s="71" t="s">
        <v>253</v>
      </c>
      <c r="B35" s="22">
        <v>1.45</v>
      </c>
      <c r="C35" s="69">
        <v>0.48</v>
      </c>
      <c r="D35" s="22">
        <v>0.156</v>
      </c>
      <c r="E35" s="23">
        <v>0.73899999999999999</v>
      </c>
      <c r="F35" s="23">
        <v>2.83</v>
      </c>
      <c r="G35" s="23">
        <f>B35+C35+D35+E35</f>
        <v>2.8249999999999997</v>
      </c>
      <c r="H35" s="6"/>
      <c r="I35" s="6"/>
    </row>
    <row r="36" spans="1:9" ht="17.5" customHeight="1">
      <c r="A36" s="70"/>
      <c r="B36" s="6"/>
      <c r="C36" s="69"/>
      <c r="D36" s="6"/>
      <c r="E36" s="23"/>
      <c r="F36" s="6"/>
      <c r="G36" s="6"/>
      <c r="H36" s="6"/>
      <c r="I36" s="6"/>
    </row>
    <row r="37" spans="1:9" ht="17.5" customHeight="1">
      <c r="A37" s="71" t="s">
        <v>254</v>
      </c>
      <c r="B37" s="22">
        <v>2.56</v>
      </c>
      <c r="C37" s="69">
        <v>0.85799999999999998</v>
      </c>
      <c r="D37" s="22">
        <v>0.41199999999999998</v>
      </c>
      <c r="E37" s="23">
        <v>1.19</v>
      </c>
      <c r="F37" s="23">
        <v>5.0199999999999996</v>
      </c>
      <c r="G37" s="23">
        <f t="shared" ref="G37:G43" si="1">B37+C37+D37+E37</f>
        <v>5.0199999999999996</v>
      </c>
      <c r="H37" s="22">
        <v>130</v>
      </c>
      <c r="I37" s="25">
        <f t="shared" ref="I37:I43" si="2">(F15/F37)*100</f>
        <v>129.68127490039839</v>
      </c>
    </row>
    <row r="38" spans="1:9" ht="17.5" customHeight="1">
      <c r="A38" s="71" t="s">
        <v>255</v>
      </c>
      <c r="B38" s="22">
        <v>3.4</v>
      </c>
      <c r="C38" s="69">
        <v>1.1399999999999999</v>
      </c>
      <c r="D38" s="22">
        <v>0.55500000000000005</v>
      </c>
      <c r="E38" s="23">
        <v>1.56</v>
      </c>
      <c r="F38" s="23">
        <v>6.65</v>
      </c>
      <c r="G38" s="23">
        <f t="shared" si="1"/>
        <v>6.6549999999999994</v>
      </c>
      <c r="H38" s="22">
        <v>119</v>
      </c>
      <c r="I38" s="25">
        <f t="shared" si="2"/>
        <v>118.49624060150374</v>
      </c>
    </row>
    <row r="39" spans="1:9" ht="17.5" customHeight="1">
      <c r="A39" s="71" t="s">
        <v>256</v>
      </c>
      <c r="B39" s="22">
        <v>4.21</v>
      </c>
      <c r="C39" s="69">
        <v>1.43</v>
      </c>
      <c r="D39" s="22">
        <v>0.81</v>
      </c>
      <c r="E39" s="23">
        <v>1.81</v>
      </c>
      <c r="F39" s="23">
        <v>8.27</v>
      </c>
      <c r="G39" s="23">
        <f t="shared" si="1"/>
        <v>8.26</v>
      </c>
      <c r="H39" s="22">
        <v>110</v>
      </c>
      <c r="I39" s="25">
        <f t="shared" si="2"/>
        <v>109.7944377267231</v>
      </c>
    </row>
    <row r="40" spans="1:9" ht="17.5" customHeight="1">
      <c r="A40" s="71" t="s">
        <v>257</v>
      </c>
      <c r="B40" s="22">
        <v>4.68</v>
      </c>
      <c r="C40" s="22">
        <v>1.65</v>
      </c>
      <c r="D40" s="22">
        <v>1.06</v>
      </c>
      <c r="E40" s="23">
        <v>1.88</v>
      </c>
      <c r="F40" s="23">
        <v>9.26</v>
      </c>
      <c r="G40" s="23">
        <f t="shared" si="1"/>
        <v>9.27</v>
      </c>
      <c r="H40" s="22">
        <v>104</v>
      </c>
      <c r="I40" s="25">
        <f t="shared" si="2"/>
        <v>103.99568034557237</v>
      </c>
    </row>
    <row r="41" spans="1:9" ht="17.5" customHeight="1">
      <c r="A41" s="71" t="s">
        <v>258</v>
      </c>
      <c r="B41" s="22">
        <v>5.3</v>
      </c>
      <c r="C41" s="22">
        <v>1.85</v>
      </c>
      <c r="D41" s="22">
        <v>1.17</v>
      </c>
      <c r="E41" s="23">
        <v>2.04</v>
      </c>
      <c r="F41" s="23">
        <v>10.4</v>
      </c>
      <c r="G41" s="23">
        <f t="shared" si="1"/>
        <v>10.36</v>
      </c>
      <c r="H41" s="22">
        <v>100</v>
      </c>
      <c r="I41" s="25">
        <f t="shared" si="2"/>
        <v>99.038461538461547</v>
      </c>
    </row>
    <row r="42" spans="1:9" ht="17.5" customHeight="1">
      <c r="A42" s="71" t="s">
        <v>259</v>
      </c>
      <c r="B42" s="22">
        <v>6.48</v>
      </c>
      <c r="C42" s="22">
        <v>2.2200000000000002</v>
      </c>
      <c r="D42" s="22">
        <v>1.31</v>
      </c>
      <c r="E42" s="23">
        <v>2.56</v>
      </c>
      <c r="F42" s="23">
        <v>12.6</v>
      </c>
      <c r="G42" s="23">
        <f t="shared" si="1"/>
        <v>12.570000000000002</v>
      </c>
      <c r="H42" s="22">
        <v>102</v>
      </c>
      <c r="I42" s="25">
        <f t="shared" si="2"/>
        <v>102.38095238095239</v>
      </c>
    </row>
    <row r="43" spans="1:9" ht="17.5" customHeight="1">
      <c r="A43" s="71" t="s">
        <v>260</v>
      </c>
      <c r="B43" s="22">
        <v>7.83</v>
      </c>
      <c r="C43" s="22">
        <v>2.77</v>
      </c>
      <c r="D43" s="22">
        <v>1.6</v>
      </c>
      <c r="E43" s="23">
        <v>3.39</v>
      </c>
      <c r="F43" s="23">
        <v>15.6</v>
      </c>
      <c r="G43" s="23">
        <f t="shared" si="1"/>
        <v>15.59</v>
      </c>
      <c r="H43" s="22">
        <v>114</v>
      </c>
      <c r="I43" s="25">
        <f t="shared" si="2"/>
        <v>113.46153846153845</v>
      </c>
    </row>
  </sheetData>
  <mergeCells count="1">
    <mergeCell ref="A2:B2"/>
  </mergeCells>
  <pageMargins left="0.75" right="0.75" top="1" bottom="1" header="0.5" footer="0.5"/>
  <pageSetup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5"/>
  <sheetViews>
    <sheetView showGridLines="0" workbookViewId="0">
      <selection activeCell="B6" sqref="B6"/>
    </sheetView>
  </sheetViews>
  <sheetFormatPr baseColWidth="10" defaultColWidth="9.1640625" defaultRowHeight="16" customHeight="1"/>
  <cols>
    <col min="1" max="1" width="27.1640625" style="4" customWidth="1"/>
    <col min="2" max="3" width="29.6640625" style="4" customWidth="1"/>
    <col min="4" max="7" width="9.1640625" style="4" customWidth="1"/>
    <col min="8" max="16384" width="9.1640625" style="4"/>
  </cols>
  <sheetData>
    <row r="1" spans="1:6" ht="18" customHeight="1">
      <c r="A1" s="5" t="s">
        <v>1</v>
      </c>
      <c r="B1" s="6"/>
      <c r="C1" s="7"/>
      <c r="D1" s="6"/>
      <c r="E1" s="6"/>
      <c r="F1" s="6"/>
    </row>
    <row r="2" spans="1:6" ht="16" customHeight="1">
      <c r="A2" s="8" t="s">
        <v>2</v>
      </c>
      <c r="B2" s="9">
        <f ca="1">NOW()</f>
        <v>45236.766028472222</v>
      </c>
      <c r="C2" s="7"/>
      <c r="D2" s="6"/>
      <c r="E2" s="6"/>
      <c r="F2" s="6"/>
    </row>
    <row r="3" spans="1:6" ht="78.75" customHeight="1">
      <c r="A3" s="224" t="s">
        <v>3</v>
      </c>
      <c r="B3" s="225"/>
      <c r="C3" s="225"/>
      <c r="D3" s="6"/>
      <c r="E3" s="6"/>
      <c r="F3" s="6"/>
    </row>
    <row r="4" spans="1:6" ht="16" customHeight="1">
      <c r="A4" s="6"/>
      <c r="B4" s="6"/>
      <c r="C4" s="7"/>
      <c r="D4" s="6"/>
      <c r="E4" s="6"/>
      <c r="F4" s="6"/>
    </row>
    <row r="5" spans="1:6" ht="17" customHeight="1">
      <c r="A5" s="8" t="s">
        <v>4</v>
      </c>
      <c r="B5" s="8" t="s">
        <v>5</v>
      </c>
      <c r="C5" s="10" t="s">
        <v>6</v>
      </c>
      <c r="D5" s="6"/>
      <c r="E5" s="6"/>
      <c r="F5" s="6"/>
    </row>
    <row r="6" spans="1:6" ht="34" customHeight="1">
      <c r="A6" s="8" t="s">
        <v>7</v>
      </c>
      <c r="B6" s="11" t="s">
        <v>593</v>
      </c>
      <c r="C6" s="10" t="s">
        <v>8</v>
      </c>
      <c r="D6" s="6"/>
      <c r="E6" s="6"/>
      <c r="F6" s="6"/>
    </row>
    <row r="7" spans="1:6" ht="17" customHeight="1">
      <c r="A7" s="8" t="s">
        <v>9</v>
      </c>
      <c r="B7" s="8" t="s">
        <v>10</v>
      </c>
      <c r="C7" s="10" t="s">
        <v>11</v>
      </c>
      <c r="D7" s="6"/>
      <c r="E7" s="6"/>
      <c r="F7" s="6"/>
    </row>
    <row r="8" spans="1:6" ht="34" customHeight="1">
      <c r="A8" s="8" t="s">
        <v>12</v>
      </c>
      <c r="B8" s="8" t="s">
        <v>13</v>
      </c>
      <c r="C8" s="10" t="s">
        <v>14</v>
      </c>
      <c r="D8" s="6"/>
      <c r="E8" s="6"/>
      <c r="F8" s="6"/>
    </row>
    <row r="9" spans="1:6" ht="51" customHeight="1">
      <c r="A9" s="8" t="s">
        <v>15</v>
      </c>
      <c r="B9" s="8" t="s">
        <v>16</v>
      </c>
      <c r="C9" s="10" t="s">
        <v>17</v>
      </c>
      <c r="D9" s="6"/>
      <c r="E9" s="6"/>
      <c r="F9" s="6"/>
    </row>
    <row r="10" spans="1:6" ht="34" customHeight="1">
      <c r="A10" s="8" t="s">
        <v>18</v>
      </c>
      <c r="B10" s="8" t="s">
        <v>19</v>
      </c>
      <c r="C10" s="10" t="s">
        <v>20</v>
      </c>
      <c r="D10" s="6"/>
      <c r="E10" s="6"/>
      <c r="F10" s="6"/>
    </row>
    <row r="11" spans="1:6" ht="34" customHeight="1">
      <c r="A11" s="8" t="s">
        <v>21</v>
      </c>
      <c r="B11" s="8" t="s">
        <v>22</v>
      </c>
      <c r="C11" s="10" t="s">
        <v>23</v>
      </c>
      <c r="D11" s="6"/>
      <c r="E11" s="6"/>
      <c r="F11" s="6"/>
    </row>
    <row r="12" spans="1:6" ht="34" customHeight="1">
      <c r="A12" s="8" t="s">
        <v>24</v>
      </c>
      <c r="B12" s="8" t="s">
        <v>25</v>
      </c>
      <c r="C12" s="10" t="s">
        <v>26</v>
      </c>
      <c r="D12" s="6"/>
      <c r="E12" s="6"/>
      <c r="F12" s="6"/>
    </row>
    <row r="13" spans="1:6" ht="34" customHeight="1">
      <c r="A13" s="8" t="s">
        <v>27</v>
      </c>
      <c r="B13" s="8" t="s">
        <v>28</v>
      </c>
      <c r="C13" s="10" t="s">
        <v>29</v>
      </c>
      <c r="D13" s="6"/>
      <c r="E13" s="6"/>
      <c r="F13" s="6"/>
    </row>
    <row r="14" spans="1:6" ht="34" customHeight="1">
      <c r="A14" s="8" t="s">
        <v>30</v>
      </c>
      <c r="B14" s="8" t="s">
        <v>31</v>
      </c>
      <c r="C14" s="10" t="s">
        <v>32</v>
      </c>
      <c r="D14" s="6"/>
      <c r="E14" s="6"/>
      <c r="F14" s="6"/>
    </row>
    <row r="15" spans="1:6" ht="51" customHeight="1">
      <c r="A15" s="8" t="s">
        <v>33</v>
      </c>
      <c r="B15" s="8" t="s">
        <v>34</v>
      </c>
      <c r="C15" s="10" t="s">
        <v>35</v>
      </c>
      <c r="D15" s="6"/>
      <c r="E15" s="6"/>
      <c r="F15" s="6"/>
    </row>
    <row r="16" spans="1:6" ht="17" customHeight="1">
      <c r="A16" s="8" t="s">
        <v>36</v>
      </c>
      <c r="B16" s="8" t="s">
        <v>37</v>
      </c>
      <c r="C16" s="10" t="s">
        <v>38</v>
      </c>
      <c r="D16" s="6"/>
      <c r="E16" s="6"/>
      <c r="F16" s="6"/>
    </row>
    <row r="17" spans="1:6" ht="51" customHeight="1">
      <c r="A17" s="8" t="s">
        <v>39</v>
      </c>
      <c r="B17" s="8" t="s">
        <v>40</v>
      </c>
      <c r="C17" s="10" t="s">
        <v>41</v>
      </c>
      <c r="D17" s="6"/>
      <c r="E17" s="6"/>
      <c r="F17" s="6"/>
    </row>
    <row r="18" spans="1:6" ht="34" customHeight="1">
      <c r="A18" s="8" t="s">
        <v>42</v>
      </c>
      <c r="B18" s="8" t="s">
        <v>43</v>
      </c>
      <c r="C18" s="10" t="s">
        <v>44</v>
      </c>
      <c r="D18" s="6"/>
      <c r="E18" s="6"/>
      <c r="F18" s="6"/>
    </row>
    <row r="19" spans="1:6" ht="16" customHeight="1">
      <c r="A19" s="8" t="s">
        <v>45</v>
      </c>
      <c r="B19" s="8" t="s">
        <v>46</v>
      </c>
      <c r="C19" s="12" t="s">
        <v>47</v>
      </c>
      <c r="D19" s="6"/>
      <c r="E19" s="6"/>
      <c r="F19" s="6"/>
    </row>
    <row r="20" spans="1:6" ht="16" customHeight="1">
      <c r="A20" s="8" t="s">
        <v>48</v>
      </c>
      <c r="B20" s="8" t="s">
        <v>49</v>
      </c>
      <c r="C20" s="12" t="s">
        <v>50</v>
      </c>
      <c r="D20" s="6"/>
      <c r="E20" s="6"/>
      <c r="F20" s="6"/>
    </row>
    <row r="21" spans="1:6" ht="34" customHeight="1">
      <c r="A21" s="8" t="s">
        <v>51</v>
      </c>
      <c r="B21" s="8" t="s">
        <v>52</v>
      </c>
      <c r="C21" s="10" t="s">
        <v>53</v>
      </c>
      <c r="D21" s="6"/>
      <c r="E21" s="6"/>
      <c r="F21" s="6"/>
    </row>
    <row r="22" spans="1:6" ht="34" customHeight="1">
      <c r="A22" s="13" t="s">
        <v>54</v>
      </c>
      <c r="B22" s="13" t="s">
        <v>55</v>
      </c>
      <c r="C22" s="14" t="s">
        <v>56</v>
      </c>
      <c r="D22" s="6"/>
      <c r="E22" s="6"/>
      <c r="F22" s="6"/>
    </row>
    <row r="23" spans="1:6" ht="34" customHeight="1">
      <c r="A23" s="8" t="s">
        <v>57</v>
      </c>
      <c r="B23" s="8" t="s">
        <v>58</v>
      </c>
      <c r="C23" s="10" t="s">
        <v>59</v>
      </c>
      <c r="D23" s="6"/>
      <c r="E23" s="6"/>
      <c r="F23" s="6"/>
    </row>
    <row r="24" spans="1:6" ht="34" customHeight="1">
      <c r="A24" s="8" t="s">
        <v>60</v>
      </c>
      <c r="B24" s="8" t="s">
        <v>61</v>
      </c>
      <c r="C24" s="10" t="s">
        <v>62</v>
      </c>
      <c r="D24" s="6"/>
      <c r="E24" s="6"/>
      <c r="F24" s="6"/>
    </row>
    <row r="25" spans="1:6" ht="34" customHeight="1">
      <c r="A25" s="8" t="s">
        <v>63</v>
      </c>
      <c r="B25" s="8" t="s">
        <v>64</v>
      </c>
      <c r="C25" s="10" t="s">
        <v>65</v>
      </c>
      <c r="D25" s="6"/>
      <c r="E25" s="6"/>
      <c r="F25" s="6"/>
    </row>
    <row r="26" spans="1:6" ht="34" customHeight="1">
      <c r="A26" s="8" t="s">
        <v>66</v>
      </c>
      <c r="B26" s="8" t="s">
        <v>67</v>
      </c>
      <c r="C26" s="10" t="s">
        <v>68</v>
      </c>
      <c r="D26" s="6"/>
      <c r="E26" s="6"/>
      <c r="F26" s="6"/>
    </row>
    <row r="27" spans="1:6" ht="34" customHeight="1">
      <c r="A27" s="8" t="s">
        <v>69</v>
      </c>
      <c r="B27" s="8" t="s">
        <v>70</v>
      </c>
      <c r="C27" s="10" t="s">
        <v>71</v>
      </c>
      <c r="D27" s="6"/>
      <c r="E27" s="6"/>
      <c r="F27" s="6"/>
    </row>
    <row r="28" spans="1:6" ht="34" customHeight="1">
      <c r="A28" s="8" t="s">
        <v>72</v>
      </c>
      <c r="B28" s="8" t="s">
        <v>73</v>
      </c>
      <c r="C28" s="10" t="s">
        <v>74</v>
      </c>
      <c r="D28" s="6"/>
      <c r="E28" s="6"/>
      <c r="F28" s="6"/>
    </row>
    <row r="29" spans="1:6" ht="34" customHeight="1">
      <c r="A29" s="8" t="s">
        <v>75</v>
      </c>
      <c r="B29" s="8" t="s">
        <v>76</v>
      </c>
      <c r="C29" s="10" t="s">
        <v>77</v>
      </c>
      <c r="D29" s="6"/>
      <c r="E29" s="6"/>
      <c r="F29" s="6"/>
    </row>
    <row r="30" spans="1:6" ht="68" customHeight="1">
      <c r="A30" s="8" t="s">
        <v>78</v>
      </c>
      <c r="B30" s="8" t="s">
        <v>79</v>
      </c>
      <c r="C30" s="10" t="s">
        <v>80</v>
      </c>
      <c r="D30" s="6"/>
      <c r="E30" s="6"/>
      <c r="F30" s="6"/>
    </row>
    <row r="31" spans="1:6" ht="34" customHeight="1">
      <c r="A31" s="8" t="s">
        <v>81</v>
      </c>
      <c r="B31" s="8" t="s">
        <v>82</v>
      </c>
      <c r="C31" s="10" t="s">
        <v>83</v>
      </c>
      <c r="D31" s="6"/>
      <c r="E31" s="6"/>
      <c r="F31" s="6"/>
    </row>
    <row r="32" spans="1:6" ht="16" customHeight="1">
      <c r="A32" s="6"/>
      <c r="B32" s="6"/>
      <c r="C32" s="15"/>
      <c r="D32" s="6"/>
      <c r="E32" s="6"/>
      <c r="F32" s="6"/>
    </row>
    <row r="33" spans="1:6" ht="16" customHeight="1">
      <c r="A33" s="6"/>
      <c r="B33" s="6"/>
      <c r="C33" s="7"/>
      <c r="D33" s="6"/>
      <c r="E33" s="6"/>
      <c r="F33" s="6"/>
    </row>
    <row r="34" spans="1:6" ht="16" customHeight="1">
      <c r="A34" s="16"/>
      <c r="B34" s="6"/>
      <c r="C34" s="7"/>
      <c r="D34" s="6"/>
      <c r="E34" s="6"/>
      <c r="F34" s="6"/>
    </row>
    <row r="35" spans="1:6" ht="34.5" customHeight="1">
      <c r="A35" s="226"/>
      <c r="B35" s="226"/>
      <c r="C35" s="226"/>
      <c r="D35" s="226"/>
      <c r="E35" s="226"/>
      <c r="F35" s="226"/>
    </row>
    <row r="36" spans="1:6" ht="37.5" customHeight="1">
      <c r="A36" s="226"/>
      <c r="B36" s="226"/>
      <c r="C36" s="226"/>
      <c r="D36" s="226"/>
      <c r="E36" s="226"/>
      <c r="F36" s="226"/>
    </row>
    <row r="37" spans="1:6" ht="33.75" customHeight="1">
      <c r="A37" s="226"/>
      <c r="B37" s="226"/>
      <c r="C37" s="226"/>
      <c r="D37" s="226"/>
      <c r="E37" s="226"/>
      <c r="F37" s="226"/>
    </row>
    <row r="38" spans="1:6" ht="32.25" customHeight="1">
      <c r="A38" s="226"/>
      <c r="B38" s="226"/>
      <c r="C38" s="226"/>
      <c r="D38" s="226"/>
      <c r="E38" s="226"/>
      <c r="F38" s="226"/>
    </row>
    <row r="39" spans="1:6" ht="41.25" customHeight="1">
      <c r="A39" s="223"/>
      <c r="B39" s="223"/>
      <c r="C39" s="223"/>
      <c r="D39" s="223"/>
      <c r="E39" s="223"/>
      <c r="F39" s="223"/>
    </row>
    <row r="40" spans="1:6" ht="34.5" customHeight="1">
      <c r="A40" s="223"/>
      <c r="B40" s="223"/>
      <c r="C40" s="223"/>
      <c r="D40" s="223"/>
      <c r="E40" s="223"/>
      <c r="F40" s="223"/>
    </row>
    <row r="41" spans="1:6" ht="40.5" customHeight="1">
      <c r="A41" s="223"/>
      <c r="B41" s="223"/>
      <c r="C41" s="223"/>
      <c r="D41" s="223"/>
      <c r="E41" s="223"/>
      <c r="F41" s="223"/>
    </row>
    <row r="42" spans="1:6" ht="40.5" customHeight="1">
      <c r="A42" s="223"/>
      <c r="B42" s="223"/>
      <c r="C42" s="223"/>
      <c r="D42" s="223"/>
      <c r="E42" s="223"/>
      <c r="F42" s="223"/>
    </row>
    <row r="43" spans="1:6" ht="40.5" customHeight="1">
      <c r="A43" s="223"/>
      <c r="B43" s="223"/>
      <c r="C43" s="223"/>
      <c r="D43" s="223"/>
      <c r="E43" s="223"/>
      <c r="F43" s="223"/>
    </row>
    <row r="44" spans="1:6" ht="51" customHeight="1">
      <c r="A44" s="223"/>
      <c r="B44" s="223"/>
      <c r="C44" s="223"/>
      <c r="D44" s="223"/>
      <c r="E44" s="223"/>
      <c r="F44" s="223"/>
    </row>
    <row r="45" spans="1:6" ht="47.25" customHeight="1">
      <c r="A45" s="223"/>
      <c r="B45" s="223"/>
      <c r="C45" s="223"/>
      <c r="D45" s="223"/>
      <c r="E45" s="223"/>
      <c r="F45" s="223"/>
    </row>
    <row r="46" spans="1:6" ht="47.25" customHeight="1">
      <c r="A46" s="223"/>
      <c r="B46" s="223"/>
      <c r="C46" s="223"/>
      <c r="D46" s="223"/>
      <c r="E46" s="223"/>
      <c r="F46" s="223"/>
    </row>
    <row r="47" spans="1:6" ht="44.25" customHeight="1">
      <c r="A47" s="223"/>
      <c r="B47" s="223"/>
      <c r="C47" s="223"/>
      <c r="D47" s="223"/>
      <c r="E47" s="223"/>
      <c r="F47" s="223"/>
    </row>
    <row r="48" spans="1:6" ht="39" customHeight="1">
      <c r="A48" s="223"/>
      <c r="B48" s="223"/>
      <c r="C48" s="223"/>
      <c r="D48" s="223"/>
      <c r="E48" s="223"/>
      <c r="F48" s="223"/>
    </row>
    <row r="49" spans="1:6" ht="16" customHeight="1">
      <c r="A49" s="6"/>
      <c r="B49" s="6"/>
      <c r="C49" s="7"/>
      <c r="D49" s="6"/>
      <c r="E49" s="6"/>
      <c r="F49" s="6"/>
    </row>
    <row r="50" spans="1:6" ht="16" customHeight="1">
      <c r="A50" s="6"/>
      <c r="B50" s="6"/>
      <c r="C50" s="7"/>
      <c r="D50" s="6"/>
      <c r="E50" s="6"/>
      <c r="F50" s="6"/>
    </row>
    <row r="51" spans="1:6" ht="16" customHeight="1">
      <c r="A51" s="6"/>
      <c r="B51" s="6"/>
      <c r="C51" s="7"/>
      <c r="D51" s="6"/>
      <c r="E51" s="6"/>
      <c r="F51" s="6"/>
    </row>
    <row r="52" spans="1:6" ht="16" customHeight="1">
      <c r="A52" s="6"/>
      <c r="B52" s="6"/>
      <c r="C52" s="15"/>
      <c r="D52" s="6"/>
      <c r="E52" s="6"/>
      <c r="F52" s="6"/>
    </row>
    <row r="53" spans="1:6" ht="16" customHeight="1">
      <c r="A53" s="6"/>
      <c r="B53" s="6"/>
      <c r="C53" s="15"/>
      <c r="D53" s="6"/>
      <c r="E53" s="6"/>
      <c r="F53" s="6"/>
    </row>
    <row r="54" spans="1:6" ht="16" customHeight="1">
      <c r="A54" s="6"/>
      <c r="B54" s="6"/>
      <c r="C54" s="15"/>
      <c r="D54" s="6"/>
      <c r="E54" s="6"/>
      <c r="F54" s="6"/>
    </row>
    <row r="55" spans="1:6" ht="16" customHeight="1">
      <c r="A55" s="6"/>
      <c r="B55" s="6"/>
      <c r="C55" s="15"/>
      <c r="D55" s="6"/>
      <c r="E55" s="6"/>
      <c r="F55" s="6"/>
    </row>
  </sheetData>
  <mergeCells count="15">
    <mergeCell ref="A40:F40"/>
    <mergeCell ref="A47:F47"/>
    <mergeCell ref="A3:C3"/>
    <mergeCell ref="A35:F35"/>
    <mergeCell ref="A36:F36"/>
    <mergeCell ref="A37:F37"/>
    <mergeCell ref="A38:F38"/>
    <mergeCell ref="A39:F39"/>
    <mergeCell ref="A48:F48"/>
    <mergeCell ref="A41:F41"/>
    <mergeCell ref="A43:F43"/>
    <mergeCell ref="A44:F44"/>
    <mergeCell ref="A45:F45"/>
    <mergeCell ref="A46:F46"/>
    <mergeCell ref="A42:F42"/>
  </mergeCells>
  <pageMargins left="0.75" right="0.75" top="1" bottom="1" header="0.5" footer="0.5"/>
  <pageSetup orientation="portrait"/>
  <headerFooter>
    <oddFooter>&amp;C&amp;"Helvetica Neue,Regular"&amp;12&amp;K000000&amp;P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33"/>
  <sheetViews>
    <sheetView showGridLines="0" workbookViewId="0"/>
  </sheetViews>
  <sheetFormatPr baseColWidth="10" defaultColWidth="9.1640625" defaultRowHeight="16" customHeight="1"/>
  <cols>
    <col min="1" max="1" width="38.5" style="4" customWidth="1"/>
    <col min="2" max="2" width="9.83203125" style="4" customWidth="1"/>
    <col min="3" max="7" width="11.5" style="4" customWidth="1"/>
    <col min="8" max="8" width="12.6640625" style="4" customWidth="1"/>
    <col min="9" max="9" width="9.1640625" style="4" customWidth="1"/>
    <col min="10" max="16384" width="9.1640625" style="4"/>
  </cols>
  <sheetData>
    <row r="1" spans="1:8" ht="17.5" customHeight="1">
      <c r="A1" s="8" t="s">
        <v>301</v>
      </c>
      <c r="B1" s="6"/>
      <c r="C1" s="6"/>
      <c r="D1" s="6"/>
      <c r="E1" s="6"/>
      <c r="F1" s="6"/>
      <c r="G1" s="6"/>
      <c r="H1" s="6"/>
    </row>
    <row r="2" spans="1:8" ht="17" customHeight="1">
      <c r="A2" s="12" t="s">
        <v>302</v>
      </c>
      <c r="B2" s="30"/>
      <c r="C2" s="6"/>
      <c r="D2" s="6"/>
      <c r="E2" s="6"/>
      <c r="F2" s="6"/>
      <c r="G2" s="6"/>
      <c r="H2" s="6"/>
    </row>
    <row r="3" spans="1:8" ht="17.5" customHeight="1">
      <c r="A3" s="8" t="s">
        <v>303</v>
      </c>
      <c r="B3" s="16"/>
      <c r="C3" s="6"/>
      <c r="D3" s="6"/>
      <c r="E3" s="6"/>
      <c r="F3" s="6"/>
      <c r="G3" s="6"/>
      <c r="H3" s="6"/>
    </row>
    <row r="4" spans="1:8" ht="17.5" customHeight="1">
      <c r="A4" s="8" t="s">
        <v>304</v>
      </c>
      <c r="B4" s="6"/>
      <c r="C4" s="6"/>
      <c r="D4" s="6"/>
      <c r="E4" s="6"/>
      <c r="F4" s="6"/>
      <c r="G4" s="6"/>
      <c r="H4" s="6"/>
    </row>
    <row r="5" spans="1:8" ht="13.75" customHeight="1">
      <c r="A5" s="6"/>
      <c r="B5" s="6"/>
      <c r="C5" s="6"/>
      <c r="D5" s="6"/>
      <c r="E5" s="6"/>
      <c r="F5" s="6"/>
      <c r="G5" s="6"/>
      <c r="H5" s="6"/>
    </row>
    <row r="6" spans="1:8" ht="17.5" customHeight="1">
      <c r="A6" s="8" t="s">
        <v>305</v>
      </c>
      <c r="B6" s="6"/>
      <c r="C6" s="6"/>
      <c r="D6" s="6"/>
      <c r="E6" s="6"/>
      <c r="F6" s="6"/>
      <c r="G6" s="6"/>
      <c r="H6" s="6"/>
    </row>
    <row r="7" spans="1:8" ht="17.5" customHeight="1">
      <c r="A7" s="6"/>
      <c r="B7" s="42">
        <v>1839</v>
      </c>
      <c r="C7" s="42">
        <v>1849</v>
      </c>
      <c r="D7" s="42">
        <v>1859</v>
      </c>
      <c r="E7" s="42">
        <v>1869</v>
      </c>
      <c r="F7" s="42">
        <v>1879</v>
      </c>
      <c r="G7" s="42">
        <v>1889</v>
      </c>
      <c r="H7" s="42">
        <v>1899</v>
      </c>
    </row>
    <row r="8" spans="1:8" ht="17.5" customHeight="1">
      <c r="A8" s="8" t="s">
        <v>306</v>
      </c>
      <c r="B8" s="72">
        <f t="shared" ref="B8:H8" si="0">B9+B10</f>
        <v>512.4</v>
      </c>
      <c r="C8" s="72">
        <f t="shared" si="0"/>
        <v>714.59999999999991</v>
      </c>
      <c r="D8" s="72">
        <f t="shared" si="0"/>
        <v>1413.1999999999998</v>
      </c>
      <c r="E8" s="72">
        <f t="shared" si="0"/>
        <v>2346.6000000000004</v>
      </c>
      <c r="F8" s="72">
        <f t="shared" si="0"/>
        <v>3333.5</v>
      </c>
      <c r="G8" s="72">
        <f t="shared" si="0"/>
        <v>5714.5</v>
      </c>
      <c r="H8" s="72">
        <f t="shared" si="0"/>
        <v>7971.6</v>
      </c>
    </row>
    <row r="9" spans="1:8" ht="17.5" customHeight="1">
      <c r="A9" s="8" t="s">
        <v>307</v>
      </c>
      <c r="B9" s="73">
        <v>155.4</v>
      </c>
      <c r="C9" s="73">
        <v>241.2</v>
      </c>
      <c r="D9" s="73">
        <v>451.9</v>
      </c>
      <c r="E9" s="73">
        <v>830.7</v>
      </c>
      <c r="F9" s="73">
        <v>1264.5</v>
      </c>
      <c r="G9" s="73">
        <v>2374.6</v>
      </c>
      <c r="H9" s="73">
        <v>3443.1</v>
      </c>
    </row>
    <row r="10" spans="1:8" ht="17" customHeight="1">
      <c r="A10" s="12" t="s">
        <v>308</v>
      </c>
      <c r="B10" s="73">
        <v>357</v>
      </c>
      <c r="C10" s="73">
        <v>473.4</v>
      </c>
      <c r="D10" s="73">
        <v>961.3</v>
      </c>
      <c r="E10" s="73">
        <v>1515.9</v>
      </c>
      <c r="F10" s="73">
        <v>2069</v>
      </c>
      <c r="G10" s="73">
        <v>3339.9</v>
      </c>
      <c r="H10" s="73">
        <v>4528.5</v>
      </c>
    </row>
    <row r="11" spans="1:8" ht="17.5" customHeight="1">
      <c r="A11" s="15"/>
      <c r="B11" s="73"/>
      <c r="C11" s="73"/>
      <c r="D11" s="73"/>
      <c r="E11" s="73"/>
      <c r="F11" s="73"/>
      <c r="G11" s="73"/>
      <c r="H11" s="73"/>
    </row>
    <row r="12" spans="1:8" ht="13" customHeight="1">
      <c r="A12" s="6"/>
      <c r="B12" s="6"/>
      <c r="C12" s="6"/>
      <c r="D12" s="6"/>
      <c r="E12" s="6"/>
      <c r="F12" s="6"/>
      <c r="G12" s="6"/>
      <c r="H12" s="6"/>
    </row>
    <row r="13" spans="1:8" ht="13" customHeight="1">
      <c r="A13" s="6"/>
      <c r="B13" s="6"/>
      <c r="C13" s="6"/>
      <c r="D13" s="6"/>
      <c r="E13" s="6"/>
      <c r="F13" s="6"/>
      <c r="G13" s="6"/>
      <c r="H13" s="6"/>
    </row>
    <row r="14" spans="1:8" ht="13" customHeight="1">
      <c r="A14" s="6"/>
      <c r="B14" s="6"/>
      <c r="C14" s="6"/>
      <c r="D14" s="6"/>
      <c r="E14" s="6"/>
      <c r="F14" s="6"/>
      <c r="G14" s="6"/>
      <c r="H14" s="6"/>
    </row>
    <row r="15" spans="1:8" ht="17.5" customHeight="1">
      <c r="A15" s="6"/>
      <c r="B15" s="73"/>
      <c r="C15" s="73"/>
      <c r="D15" s="73"/>
      <c r="E15" s="73"/>
      <c r="F15" s="73"/>
      <c r="G15" s="73"/>
      <c r="H15" s="73"/>
    </row>
    <row r="16" spans="1:8" ht="17.5" customHeight="1">
      <c r="A16" s="6"/>
      <c r="B16" s="73"/>
      <c r="C16" s="73"/>
      <c r="D16" s="73"/>
      <c r="E16" s="73"/>
      <c r="F16" s="73"/>
      <c r="G16" s="73"/>
      <c r="H16" s="73"/>
    </row>
    <row r="17" spans="1:8" ht="17.5" customHeight="1">
      <c r="A17" s="6"/>
      <c r="B17" s="73"/>
      <c r="C17" s="73"/>
      <c r="D17" s="73"/>
      <c r="E17" s="73"/>
      <c r="F17" s="73"/>
      <c r="G17" s="73"/>
      <c r="H17" s="73"/>
    </row>
    <row r="18" spans="1:8" ht="17.5" customHeight="1">
      <c r="A18" s="6"/>
      <c r="B18" s="73"/>
      <c r="C18" s="73"/>
      <c r="D18" s="73"/>
      <c r="E18" s="73"/>
      <c r="F18" s="73"/>
      <c r="G18" s="73"/>
      <c r="H18" s="73"/>
    </row>
    <row r="19" spans="1:8" ht="17.5" customHeight="1">
      <c r="A19" s="6"/>
      <c r="B19" s="73"/>
      <c r="C19" s="73"/>
      <c r="D19" s="73"/>
      <c r="E19" s="73"/>
      <c r="F19" s="73"/>
      <c r="G19" s="73"/>
      <c r="H19" s="73"/>
    </row>
    <row r="20" spans="1:8" ht="13.75" customHeight="1">
      <c r="A20" s="6"/>
      <c r="B20" s="6"/>
      <c r="C20" s="6"/>
      <c r="D20" s="6"/>
      <c r="E20" s="6"/>
      <c r="F20" s="6"/>
      <c r="G20" s="6"/>
      <c r="H20" s="6"/>
    </row>
    <row r="21" spans="1:8" ht="13.75" customHeight="1">
      <c r="A21" s="6"/>
      <c r="B21" s="6"/>
      <c r="C21" s="6"/>
      <c r="D21" s="6"/>
      <c r="E21" s="6"/>
      <c r="F21" s="6"/>
      <c r="G21" s="6"/>
      <c r="H21" s="6"/>
    </row>
    <row r="22" spans="1:8" ht="13.75" customHeight="1">
      <c r="A22" s="6"/>
      <c r="B22" s="6"/>
      <c r="C22" s="6"/>
      <c r="D22" s="6"/>
      <c r="E22" s="6"/>
      <c r="F22" s="6"/>
      <c r="G22" s="6"/>
      <c r="H22" s="6"/>
    </row>
    <row r="23" spans="1:8" ht="13.75" customHeight="1">
      <c r="A23" s="6"/>
      <c r="B23" s="6"/>
      <c r="C23" s="6"/>
      <c r="D23" s="6"/>
      <c r="E23" s="6"/>
      <c r="F23" s="6"/>
      <c r="G23" s="6"/>
      <c r="H23" s="6"/>
    </row>
    <row r="24" spans="1:8" ht="17.5" customHeight="1">
      <c r="A24" s="6"/>
      <c r="B24" s="20"/>
      <c r="C24" s="20"/>
      <c r="D24" s="20"/>
      <c r="E24" s="20"/>
      <c r="F24" s="20"/>
      <c r="G24" s="20"/>
      <c r="H24" s="20"/>
    </row>
    <row r="25" spans="1:8" ht="13.75" customHeight="1">
      <c r="A25" s="6"/>
      <c r="B25" s="6"/>
      <c r="C25" s="6"/>
      <c r="D25" s="6"/>
      <c r="E25" s="6"/>
      <c r="F25" s="6"/>
      <c r="G25" s="6"/>
      <c r="H25" s="6"/>
    </row>
    <row r="26" spans="1:8" ht="13.75" customHeight="1">
      <c r="A26" s="6"/>
      <c r="B26" s="6"/>
      <c r="C26" s="6"/>
      <c r="D26" s="6"/>
      <c r="E26" s="6"/>
      <c r="F26" s="6"/>
      <c r="G26" s="6"/>
      <c r="H26" s="6"/>
    </row>
    <row r="27" spans="1:8" ht="13.75" customHeight="1">
      <c r="A27" s="6"/>
      <c r="B27" s="6"/>
      <c r="C27" s="6"/>
      <c r="D27" s="6"/>
      <c r="E27" s="6"/>
      <c r="F27" s="6"/>
      <c r="G27" s="6"/>
      <c r="H27" s="6"/>
    </row>
    <row r="28" spans="1:8" ht="13.75" customHeight="1">
      <c r="A28" s="6"/>
      <c r="B28" s="6"/>
      <c r="C28" s="6"/>
      <c r="D28" s="6"/>
      <c r="E28" s="6"/>
      <c r="F28" s="6"/>
      <c r="G28" s="6"/>
      <c r="H28" s="6"/>
    </row>
    <row r="29" spans="1:8" ht="13.75" customHeight="1">
      <c r="A29" s="6"/>
      <c r="B29" s="6"/>
      <c r="C29" s="6"/>
      <c r="D29" s="6"/>
      <c r="E29" s="6"/>
      <c r="F29" s="6"/>
      <c r="G29" s="6"/>
      <c r="H29" s="6"/>
    </row>
    <row r="30" spans="1:8" ht="17.5" customHeight="1">
      <c r="A30" s="6"/>
      <c r="B30" s="20"/>
      <c r="C30" s="20"/>
      <c r="D30" s="20"/>
      <c r="E30" s="20"/>
      <c r="F30" s="20"/>
      <c r="G30" s="20"/>
      <c r="H30" s="20"/>
    </row>
    <row r="31" spans="1:8" ht="17.5" customHeight="1">
      <c r="A31" s="6"/>
      <c r="B31" s="73"/>
      <c r="C31" s="73"/>
      <c r="D31" s="73"/>
      <c r="E31" s="73"/>
      <c r="F31" s="73"/>
      <c r="G31" s="73"/>
      <c r="H31" s="73"/>
    </row>
    <row r="32" spans="1:8" ht="13.75" customHeight="1">
      <c r="A32" s="6"/>
      <c r="B32" s="6"/>
      <c r="C32" s="6"/>
      <c r="D32" s="6"/>
      <c r="E32" s="6"/>
      <c r="F32" s="6"/>
      <c r="G32" s="6"/>
      <c r="H32" s="6"/>
    </row>
    <row r="33" spans="1:8" ht="13.75" customHeight="1">
      <c r="A33" s="6"/>
      <c r="B33" s="6"/>
      <c r="C33" s="6"/>
      <c r="D33" s="6"/>
      <c r="E33" s="6"/>
      <c r="F33" s="6"/>
      <c r="G33" s="6"/>
      <c r="H33" s="6"/>
    </row>
  </sheetData>
  <pageMargins left="0.75" right="0.75" top="1" bottom="1" header="0.5" footer="0.5"/>
  <pageSetup orientation="portrait"/>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31"/>
  <sheetViews>
    <sheetView showGridLines="0" workbookViewId="0"/>
  </sheetViews>
  <sheetFormatPr baseColWidth="10" defaultColWidth="9.1640625" defaultRowHeight="16" customHeight="1"/>
  <cols>
    <col min="1" max="1" width="20" style="4" customWidth="1"/>
    <col min="2" max="2" width="9.83203125" style="4" customWidth="1"/>
    <col min="3" max="7" width="11.5" style="4" customWidth="1"/>
    <col min="8" max="8" width="12.6640625" style="4" customWidth="1"/>
    <col min="9" max="9" width="9.1640625" style="4" customWidth="1"/>
    <col min="10" max="16384" width="9.1640625" style="4"/>
  </cols>
  <sheetData>
    <row r="1" spans="1:8" ht="17.5" customHeight="1">
      <c r="A1" s="8" t="s">
        <v>310</v>
      </c>
      <c r="B1" s="6"/>
      <c r="C1" s="6"/>
      <c r="D1" s="6"/>
      <c r="E1" s="6"/>
      <c r="F1" s="6"/>
      <c r="G1" s="6"/>
      <c r="H1" s="6"/>
    </row>
    <row r="2" spans="1:8" ht="17.5" customHeight="1">
      <c r="A2" s="8" t="s">
        <v>311</v>
      </c>
      <c r="B2" s="6"/>
      <c r="C2" s="6"/>
      <c r="D2" s="6"/>
      <c r="E2" s="6"/>
      <c r="F2" s="6"/>
      <c r="G2" s="6"/>
      <c r="H2" s="6"/>
    </row>
    <row r="3" spans="1:8" ht="17.5" customHeight="1">
      <c r="A3" s="8" t="s">
        <v>303</v>
      </c>
      <c r="B3" s="6"/>
      <c r="C3" s="6"/>
      <c r="D3" s="6"/>
      <c r="E3" s="6"/>
      <c r="F3" s="6"/>
      <c r="G3" s="6"/>
      <c r="H3" s="6"/>
    </row>
    <row r="4" spans="1:8" ht="17.5" customHeight="1">
      <c r="A4" s="8" t="s">
        <v>312</v>
      </c>
      <c r="B4" s="6"/>
      <c r="C4" s="6"/>
      <c r="D4" s="6"/>
      <c r="E4" s="6"/>
      <c r="F4" s="6"/>
      <c r="G4" s="6"/>
      <c r="H4" s="6"/>
    </row>
    <row r="5" spans="1:8" ht="13.75" customHeight="1">
      <c r="A5" s="6"/>
      <c r="B5" s="6"/>
      <c r="C5" s="6"/>
      <c r="D5" s="6"/>
      <c r="E5" s="6"/>
      <c r="F5" s="6"/>
      <c r="G5" s="6"/>
      <c r="H5" s="6"/>
    </row>
    <row r="6" spans="1:8" ht="17.5" customHeight="1">
      <c r="A6" s="8" t="s">
        <v>313</v>
      </c>
      <c r="B6" s="6"/>
      <c r="C6" s="6"/>
      <c r="D6" s="6"/>
      <c r="E6" s="6"/>
      <c r="F6" s="6"/>
      <c r="G6" s="6"/>
      <c r="H6" s="6"/>
    </row>
    <row r="7" spans="1:8" ht="13.75" customHeight="1">
      <c r="A7" s="6"/>
      <c r="B7" s="6"/>
      <c r="C7" s="6"/>
      <c r="D7" s="6"/>
      <c r="E7" s="6"/>
      <c r="F7" s="6"/>
      <c r="G7" s="6"/>
      <c r="H7" s="6"/>
    </row>
    <row r="8" spans="1:8" ht="17.5" customHeight="1">
      <c r="A8" s="8" t="s">
        <v>314</v>
      </c>
      <c r="B8" s="22">
        <v>1839</v>
      </c>
      <c r="C8" s="22">
        <v>1849</v>
      </c>
      <c r="D8" s="22">
        <v>1859</v>
      </c>
      <c r="E8" s="22">
        <v>1869</v>
      </c>
      <c r="F8" s="22">
        <v>1879</v>
      </c>
      <c r="G8" s="22">
        <v>1889</v>
      </c>
      <c r="H8" s="22">
        <v>1899</v>
      </c>
    </row>
    <row r="9" spans="1:8" ht="17.5" customHeight="1">
      <c r="A9" s="8" t="s">
        <v>315</v>
      </c>
      <c r="B9" s="73">
        <v>197</v>
      </c>
      <c r="C9" s="73">
        <v>346</v>
      </c>
      <c r="D9" s="73">
        <v>661</v>
      </c>
      <c r="E9" s="73">
        <v>970</v>
      </c>
      <c r="F9" s="73">
        <v>1294</v>
      </c>
      <c r="G9" s="73">
        <v>1944</v>
      </c>
      <c r="H9" s="73">
        <v>2653</v>
      </c>
    </row>
    <row r="10" spans="1:8" ht="34" customHeight="1">
      <c r="A10" s="12" t="s">
        <v>316</v>
      </c>
      <c r="B10" s="73">
        <v>109.8</v>
      </c>
      <c r="C10" s="73">
        <v>103.1</v>
      </c>
      <c r="D10" s="73">
        <v>258.7</v>
      </c>
      <c r="E10" s="73">
        <v>491.3</v>
      </c>
      <c r="F10" s="73">
        <v>694.1</v>
      </c>
      <c r="G10" s="73">
        <v>1293</v>
      </c>
      <c r="H10" s="73">
        <v>1777.4</v>
      </c>
    </row>
    <row r="11" spans="1:8" ht="17.5" customHeight="1">
      <c r="A11" s="8" t="s">
        <v>317</v>
      </c>
      <c r="B11" s="73">
        <v>31.7</v>
      </c>
      <c r="C11" s="73">
        <v>29.1</v>
      </c>
      <c r="D11" s="73">
        <v>51</v>
      </c>
      <c r="E11" s="73">
        <v>128.80000000000001</v>
      </c>
      <c r="F11" s="73">
        <v>200.6</v>
      </c>
      <c r="G11" s="73">
        <v>372</v>
      </c>
      <c r="H11" s="73">
        <v>558</v>
      </c>
    </row>
    <row r="12" spans="1:8" ht="17.5" customHeight="1">
      <c r="A12" s="8" t="s">
        <v>318</v>
      </c>
      <c r="B12" s="73">
        <v>45.9</v>
      </c>
      <c r="C12" s="73">
        <v>73.3</v>
      </c>
      <c r="D12" s="73">
        <v>113.6</v>
      </c>
      <c r="E12" s="73">
        <v>207.8</v>
      </c>
      <c r="F12" s="73">
        <v>418.1</v>
      </c>
      <c r="G12" s="73">
        <v>723</v>
      </c>
      <c r="H12" s="73">
        <v>1117</v>
      </c>
    </row>
    <row r="13" spans="1:8" ht="17.5" customHeight="1">
      <c r="A13" s="8" t="s">
        <v>319</v>
      </c>
      <c r="B13" s="73">
        <v>34.4</v>
      </c>
      <c r="C13" s="73">
        <v>51.5</v>
      </c>
      <c r="D13" s="73">
        <v>92</v>
      </c>
      <c r="E13" s="73">
        <v>138.1</v>
      </c>
      <c r="F13" s="73">
        <v>224</v>
      </c>
      <c r="G13" s="73">
        <v>433.8</v>
      </c>
      <c r="H13" s="73">
        <v>504.5</v>
      </c>
    </row>
    <row r="14" spans="1:8" ht="17.5" customHeight="1">
      <c r="A14" s="8" t="s">
        <v>320</v>
      </c>
      <c r="B14" s="73">
        <v>24.8</v>
      </c>
      <c r="C14" s="73">
        <v>30.4</v>
      </c>
      <c r="D14" s="73">
        <v>67.099999999999994</v>
      </c>
      <c r="E14" s="73">
        <v>72.400000000000006</v>
      </c>
      <c r="F14" s="73">
        <v>94.9</v>
      </c>
      <c r="G14" s="73">
        <v>215.7</v>
      </c>
      <c r="H14" s="73">
        <v>231.9</v>
      </c>
    </row>
    <row r="15" spans="1:8" ht="17.5" customHeight="1">
      <c r="A15" s="8" t="s">
        <v>321</v>
      </c>
      <c r="B15" s="73">
        <v>8.3000000000000007</v>
      </c>
      <c r="C15" s="73">
        <v>14.6</v>
      </c>
      <c r="D15" s="73">
        <v>31.2</v>
      </c>
      <c r="E15" s="73">
        <v>85.9</v>
      </c>
      <c r="F15" s="73">
        <v>97.7</v>
      </c>
      <c r="G15" s="73">
        <v>172</v>
      </c>
      <c r="H15" s="73">
        <v>265.89999999999998</v>
      </c>
    </row>
    <row r="16" spans="1:8" ht="17.5" customHeight="1">
      <c r="A16" s="8" t="s">
        <v>322</v>
      </c>
      <c r="B16" s="73">
        <v>31.5</v>
      </c>
      <c r="C16" s="73">
        <v>40.6</v>
      </c>
      <c r="D16" s="73">
        <v>78.8</v>
      </c>
      <c r="E16" s="73">
        <v>120.6</v>
      </c>
      <c r="F16" s="73">
        <v>150.30000000000001</v>
      </c>
      <c r="G16" s="73">
        <v>281.2</v>
      </c>
      <c r="H16" s="73">
        <v>414.3</v>
      </c>
    </row>
    <row r="17" spans="1:8" ht="17.5" customHeight="1">
      <c r="A17" s="8" t="s">
        <v>323</v>
      </c>
      <c r="B17" s="73">
        <v>166</v>
      </c>
      <c r="C17" s="73">
        <v>248</v>
      </c>
      <c r="D17" s="73">
        <v>395</v>
      </c>
      <c r="E17" s="73">
        <v>711</v>
      </c>
      <c r="F17" s="73">
        <v>697</v>
      </c>
      <c r="G17" s="73">
        <v>1074</v>
      </c>
      <c r="H17" s="73">
        <v>1390</v>
      </c>
    </row>
    <row r="18" spans="1:8" ht="17.5" customHeight="1">
      <c r="A18" s="8" t="s">
        <v>324</v>
      </c>
      <c r="B18" s="73">
        <f t="shared" ref="B18:H18" si="0">SUM(B9:B17)</f>
        <v>649.4</v>
      </c>
      <c r="C18" s="73">
        <f t="shared" si="0"/>
        <v>936.6</v>
      </c>
      <c r="D18" s="73">
        <f t="shared" si="0"/>
        <v>1748.3999999999999</v>
      </c>
      <c r="E18" s="73">
        <f t="shared" si="0"/>
        <v>2925.8999999999996</v>
      </c>
      <c r="F18" s="73">
        <f t="shared" si="0"/>
        <v>3870.7</v>
      </c>
      <c r="G18" s="73">
        <f t="shared" si="0"/>
        <v>6508.7</v>
      </c>
      <c r="H18" s="73">
        <f t="shared" si="0"/>
        <v>8912</v>
      </c>
    </row>
    <row r="19" spans="1:8" ht="17.5" customHeight="1">
      <c r="A19" s="6"/>
      <c r="B19" s="6"/>
      <c r="C19" s="6"/>
      <c r="D19" s="6"/>
      <c r="E19" s="73"/>
      <c r="F19" s="73"/>
      <c r="G19" s="6"/>
      <c r="H19" s="6"/>
    </row>
    <row r="20" spans="1:8" ht="17.5" customHeight="1">
      <c r="A20" s="8" t="s">
        <v>325</v>
      </c>
      <c r="B20" s="6"/>
      <c r="C20" s="6"/>
      <c r="D20" s="6"/>
      <c r="E20" s="6"/>
      <c r="F20" s="6"/>
      <c r="G20" s="6"/>
      <c r="H20" s="6"/>
    </row>
    <row r="21" spans="1:8" ht="17.5" customHeight="1">
      <c r="A21" s="8" t="s">
        <v>326</v>
      </c>
      <c r="B21" s="6"/>
      <c r="C21" s="6"/>
      <c r="D21" s="6"/>
      <c r="E21" s="6"/>
      <c r="F21" s="6"/>
      <c r="G21" s="6"/>
      <c r="H21" s="6"/>
    </row>
    <row r="22" spans="1:8" ht="13.75" customHeight="1">
      <c r="A22" s="6"/>
      <c r="B22" s="6"/>
      <c r="C22" s="6"/>
      <c r="D22" s="6"/>
      <c r="E22" s="6"/>
      <c r="F22" s="6"/>
      <c r="G22" s="6"/>
      <c r="H22" s="6"/>
    </row>
    <row r="23" spans="1:8" ht="17.5" customHeight="1">
      <c r="A23" s="6"/>
      <c r="B23" s="42">
        <v>1839</v>
      </c>
      <c r="C23" s="42">
        <v>1849</v>
      </c>
      <c r="D23" s="42">
        <v>1859</v>
      </c>
      <c r="E23" s="42">
        <v>1869</v>
      </c>
      <c r="F23" s="42">
        <v>1879</v>
      </c>
      <c r="G23" s="42">
        <v>1889</v>
      </c>
      <c r="H23" s="42">
        <v>1899</v>
      </c>
    </row>
    <row r="24" spans="1:8" ht="17.5" customHeight="1">
      <c r="A24" s="8" t="s">
        <v>327</v>
      </c>
      <c r="B24" s="22">
        <v>95</v>
      </c>
      <c r="C24" s="22">
        <v>101</v>
      </c>
      <c r="D24" s="22">
        <v>99</v>
      </c>
      <c r="E24" s="22">
        <v>129</v>
      </c>
      <c r="F24" s="22">
        <v>91</v>
      </c>
      <c r="G24" s="22">
        <v>78</v>
      </c>
      <c r="H24" s="22">
        <v>70</v>
      </c>
    </row>
    <row r="25" spans="1:8" ht="17.5" customHeight="1">
      <c r="A25" s="74" t="s">
        <v>328</v>
      </c>
      <c r="B25" s="6"/>
      <c r="C25" s="6"/>
      <c r="D25" s="6"/>
      <c r="E25" s="6"/>
      <c r="F25" s="6"/>
      <c r="G25" s="6"/>
      <c r="H25" s="6"/>
    </row>
    <row r="26" spans="1:8" ht="17.5" customHeight="1">
      <c r="A26" s="74" t="s">
        <v>329</v>
      </c>
      <c r="B26" s="6"/>
      <c r="C26" s="6"/>
      <c r="D26" s="6"/>
      <c r="E26" s="6"/>
      <c r="F26" s="6"/>
      <c r="G26" s="6"/>
      <c r="H26" s="6"/>
    </row>
    <row r="27" spans="1:8" ht="17.5" customHeight="1">
      <c r="A27" s="16"/>
      <c r="B27" s="42">
        <v>1839</v>
      </c>
      <c r="C27" s="42">
        <v>1849</v>
      </c>
      <c r="D27" s="42">
        <v>1859</v>
      </c>
      <c r="E27" s="42">
        <v>1869</v>
      </c>
      <c r="F27" s="42">
        <v>1879</v>
      </c>
      <c r="G27" s="42">
        <v>1889</v>
      </c>
      <c r="H27" s="42">
        <v>1899</v>
      </c>
    </row>
    <row r="28" spans="1:8" ht="17.5" customHeight="1">
      <c r="A28" s="74" t="s">
        <v>323</v>
      </c>
      <c r="B28" s="73">
        <f t="shared" ref="B28:H28" si="1">B17/(B24/100)</f>
        <v>174.73684210526318</v>
      </c>
      <c r="C28" s="73">
        <f t="shared" si="1"/>
        <v>245.54455445544554</v>
      </c>
      <c r="D28" s="73">
        <f t="shared" si="1"/>
        <v>398.98989898989902</v>
      </c>
      <c r="E28" s="73">
        <f t="shared" si="1"/>
        <v>551.16279069767438</v>
      </c>
      <c r="F28" s="73">
        <f t="shared" si="1"/>
        <v>765.93406593406587</v>
      </c>
      <c r="G28" s="73">
        <f t="shared" si="1"/>
        <v>1376.9230769230769</v>
      </c>
      <c r="H28" s="73">
        <f t="shared" si="1"/>
        <v>1985.7142857142858</v>
      </c>
    </row>
    <row r="29" spans="1:8" ht="13.75" customHeight="1">
      <c r="A29" s="6"/>
      <c r="B29" s="6"/>
      <c r="C29" s="6"/>
      <c r="D29" s="6"/>
      <c r="E29" s="6"/>
      <c r="F29" s="6"/>
      <c r="G29" s="6"/>
      <c r="H29" s="6"/>
    </row>
    <row r="30" spans="1:8" ht="13.75" customHeight="1">
      <c r="A30" s="6"/>
      <c r="B30" s="6"/>
      <c r="C30" s="6"/>
      <c r="D30" s="6"/>
      <c r="E30" s="6"/>
      <c r="F30" s="6"/>
      <c r="G30" s="6"/>
      <c r="H30" s="6"/>
    </row>
    <row r="31" spans="1:8" ht="13.75" customHeight="1">
      <c r="A31" s="6"/>
      <c r="B31" s="6"/>
      <c r="C31" s="6"/>
      <c r="D31" s="6"/>
      <c r="E31" s="6"/>
      <c r="F31" s="6"/>
      <c r="G31" s="6"/>
      <c r="H31" s="6"/>
    </row>
  </sheetData>
  <pageMargins left="0.75" right="0.75" top="1" bottom="1" header="0.5" footer="0.5"/>
  <pageSetup orientation="portrait"/>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83"/>
  <sheetViews>
    <sheetView showGridLines="0" workbookViewId="0"/>
  </sheetViews>
  <sheetFormatPr baseColWidth="10" defaultColWidth="8.83203125" defaultRowHeight="16" customHeight="1"/>
  <cols>
    <col min="1" max="1" width="8.83203125" style="4" customWidth="1"/>
    <col min="2" max="2" width="8.1640625" style="4" customWidth="1"/>
    <col min="3" max="3" width="3.1640625" style="4" customWidth="1"/>
    <col min="4" max="4" width="6.6640625" style="4" customWidth="1"/>
    <col min="5" max="5" width="3.5" style="4" customWidth="1"/>
    <col min="6" max="6" width="7.5" style="4" customWidth="1"/>
    <col min="7" max="7" width="3.83203125" style="4" customWidth="1"/>
    <col min="8" max="8" width="7.5" style="4" customWidth="1"/>
    <col min="9" max="9" width="3" style="4" customWidth="1"/>
    <col min="10" max="10" width="8" style="4" customWidth="1"/>
    <col min="11" max="11" width="3" style="4" customWidth="1"/>
    <col min="12" max="12" width="8.83203125" style="4" customWidth="1"/>
    <col min="13" max="13" width="3.1640625" style="4" customWidth="1"/>
    <col min="14" max="14" width="8.83203125" style="4" customWidth="1"/>
    <col min="15" max="15" width="8.5" style="4" customWidth="1"/>
    <col min="16" max="16" width="4.5" style="4" customWidth="1"/>
    <col min="17" max="17" width="7.1640625" style="4" customWidth="1"/>
    <col min="18" max="18" width="3.83203125" style="4" customWidth="1"/>
    <col min="19" max="19" width="8" style="4" customWidth="1"/>
    <col min="20" max="20" width="2.83203125" style="4" customWidth="1"/>
    <col min="21" max="21" width="7.6640625" style="4" customWidth="1"/>
    <col min="22" max="22" width="3" style="4" customWidth="1"/>
    <col min="23" max="23" width="8.83203125" style="4" customWidth="1"/>
    <col min="24" max="24" width="8.83203125" style="4" hidden="1" customWidth="1"/>
    <col min="25" max="25" width="2.83203125" style="4" customWidth="1"/>
    <col min="26" max="26" width="8" style="4" customWidth="1"/>
    <col min="27" max="27" width="4.83203125" style="4" customWidth="1"/>
    <col min="28" max="28" width="8" style="4" customWidth="1"/>
    <col min="29" max="29" width="4.5" style="4" customWidth="1"/>
    <col min="30" max="30" width="9.1640625" style="4" customWidth="1"/>
    <col min="31" max="31" width="3.1640625" style="4" customWidth="1"/>
    <col min="32" max="34" width="8.83203125" style="4" customWidth="1"/>
    <col min="35" max="16384" width="8.83203125" style="4"/>
  </cols>
  <sheetData>
    <row r="1" spans="1:33" ht="17.5" customHeight="1">
      <c r="A1" s="8" t="s">
        <v>331</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row>
    <row r="2" spans="1:33" ht="17.5" customHeight="1">
      <c r="A2" s="8" t="s">
        <v>332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row>
    <row r="3" spans="1:33" ht="17.5" customHeight="1">
      <c r="A3" s="8" t="s">
        <v>333</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row>
    <row r="4" spans="1:33" ht="17.5" customHeight="1">
      <c r="A4" s="8" t="s">
        <v>334</v>
      </c>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row>
    <row r="5" spans="1:33" ht="13.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row>
    <row r="6" spans="1:33" ht="17.5" customHeight="1">
      <c r="A6" s="6"/>
      <c r="B6" s="74" t="s">
        <v>335</v>
      </c>
      <c r="C6" s="16"/>
      <c r="D6" s="6"/>
      <c r="E6" s="6"/>
      <c r="F6" s="6"/>
      <c r="G6" s="6"/>
      <c r="H6" s="6"/>
      <c r="I6" s="6"/>
      <c r="J6" s="6"/>
      <c r="K6" s="6"/>
      <c r="L6" s="6"/>
      <c r="M6" s="6"/>
      <c r="N6" s="16"/>
      <c r="O6" s="74" t="s">
        <v>336</v>
      </c>
      <c r="P6" s="16"/>
      <c r="Q6" s="6"/>
      <c r="R6" s="6"/>
      <c r="S6" s="6"/>
      <c r="T6" s="6"/>
      <c r="U6" s="6"/>
      <c r="V6" s="6"/>
      <c r="W6" s="6"/>
      <c r="X6" s="6"/>
      <c r="Y6" s="6"/>
      <c r="Z6" s="6"/>
      <c r="AA6" s="6"/>
      <c r="AB6" s="6"/>
      <c r="AC6" s="6"/>
      <c r="AD6" s="74" t="s">
        <v>337</v>
      </c>
      <c r="AE6" s="6"/>
      <c r="AF6" s="74" t="s">
        <v>338</v>
      </c>
      <c r="AG6" s="74" t="s">
        <v>337</v>
      </c>
    </row>
    <row r="7" spans="1:33" ht="17.5" customHeight="1">
      <c r="A7" s="6"/>
      <c r="B7" s="16"/>
      <c r="C7" s="16"/>
      <c r="D7" s="6"/>
      <c r="E7" s="6"/>
      <c r="F7" s="6"/>
      <c r="G7" s="6"/>
      <c r="H7" s="6"/>
      <c r="I7" s="6"/>
      <c r="J7" s="6"/>
      <c r="K7" s="6"/>
      <c r="L7" s="6"/>
      <c r="M7" s="6"/>
      <c r="N7" s="16"/>
      <c r="O7" s="6"/>
      <c r="P7" s="6"/>
      <c r="Q7" s="6"/>
      <c r="R7" s="6"/>
      <c r="S7" s="6"/>
      <c r="T7" s="6"/>
      <c r="U7" s="6"/>
      <c r="V7" s="6"/>
      <c r="W7" s="6"/>
      <c r="X7" s="6"/>
      <c r="Y7" s="6"/>
      <c r="Z7" s="6"/>
      <c r="AA7" s="6"/>
      <c r="AB7" s="6"/>
      <c r="AC7" s="6"/>
      <c r="AD7" s="74" t="s">
        <v>339</v>
      </c>
      <c r="AE7" s="6"/>
      <c r="AF7" s="74" t="s">
        <v>340</v>
      </c>
      <c r="AG7" s="74" t="s">
        <v>339</v>
      </c>
    </row>
    <row r="8" spans="1:33" ht="17.5" customHeight="1">
      <c r="A8" s="6"/>
      <c r="B8" s="6"/>
      <c r="C8" s="6"/>
      <c r="D8" s="6"/>
      <c r="E8" s="6"/>
      <c r="F8" s="6"/>
      <c r="G8" s="6"/>
      <c r="H8" s="6"/>
      <c r="I8" s="6"/>
      <c r="J8" s="6"/>
      <c r="K8" s="6"/>
      <c r="L8" s="6"/>
      <c r="M8" s="6"/>
      <c r="N8" s="6"/>
      <c r="O8" s="8" t="s">
        <v>341</v>
      </c>
      <c r="P8" s="6"/>
      <c r="Q8" s="8" t="s">
        <v>342</v>
      </c>
      <c r="R8" s="6"/>
      <c r="S8" s="6"/>
      <c r="T8" s="6"/>
      <c r="U8" s="6"/>
      <c r="V8" s="6"/>
      <c r="W8" s="6"/>
      <c r="X8" s="6"/>
      <c r="Y8" s="6"/>
      <c r="Z8" s="8" t="s">
        <v>343</v>
      </c>
      <c r="AA8" s="6"/>
      <c r="AB8" s="8" t="s">
        <v>344</v>
      </c>
      <c r="AC8" s="6"/>
      <c r="AD8" s="8" t="s">
        <v>345</v>
      </c>
      <c r="AE8" s="6"/>
      <c r="AF8" s="6"/>
      <c r="AG8" s="8" t="s">
        <v>345</v>
      </c>
    </row>
    <row r="9" spans="1:33" ht="17.5" customHeight="1">
      <c r="A9" s="6"/>
      <c r="B9" s="8" t="s">
        <v>292</v>
      </c>
      <c r="C9" s="6"/>
      <c r="D9" s="8" t="s">
        <v>346</v>
      </c>
      <c r="E9" s="6"/>
      <c r="F9" s="8" t="s">
        <v>294</v>
      </c>
      <c r="G9" s="6"/>
      <c r="H9" s="8" t="s">
        <v>344</v>
      </c>
      <c r="I9" s="6"/>
      <c r="J9" s="8" t="s">
        <v>295</v>
      </c>
      <c r="K9" s="6"/>
      <c r="L9" s="8" t="s">
        <v>344</v>
      </c>
      <c r="M9" s="6"/>
      <c r="N9" s="6"/>
      <c r="O9" s="8" t="s">
        <v>347</v>
      </c>
      <c r="P9" s="6"/>
      <c r="Q9" s="6"/>
      <c r="R9" s="6"/>
      <c r="S9" s="6"/>
      <c r="T9" s="6"/>
      <c r="U9" s="6"/>
      <c r="V9" s="6"/>
      <c r="W9" s="6"/>
      <c r="X9" s="6"/>
      <c r="Y9" s="6"/>
      <c r="Z9" s="8" t="s">
        <v>348</v>
      </c>
      <c r="AA9" s="6"/>
      <c r="AB9" s="8" t="s">
        <v>349</v>
      </c>
      <c r="AC9" s="6"/>
      <c r="AD9" s="8" t="s">
        <v>350</v>
      </c>
      <c r="AE9" s="6"/>
      <c r="AF9" s="6"/>
      <c r="AG9" s="8" t="s">
        <v>351</v>
      </c>
    </row>
    <row r="10" spans="1:33" ht="17" customHeight="1">
      <c r="A10" s="8" t="s">
        <v>95</v>
      </c>
      <c r="B10" s="75"/>
      <c r="C10" s="75"/>
      <c r="D10" s="76" t="s">
        <v>294</v>
      </c>
      <c r="E10" s="75"/>
      <c r="F10" s="75"/>
      <c r="G10" s="75"/>
      <c r="H10" s="76" t="s">
        <v>352</v>
      </c>
      <c r="I10" s="75"/>
      <c r="J10" s="75"/>
      <c r="K10" s="75"/>
      <c r="L10" s="76" t="s">
        <v>353</v>
      </c>
      <c r="M10" s="75"/>
      <c r="N10" s="6"/>
      <c r="O10" s="76" t="s">
        <v>294</v>
      </c>
      <c r="P10" s="75"/>
      <c r="Q10" s="76" t="s">
        <v>354</v>
      </c>
      <c r="R10" s="75"/>
      <c r="S10" s="76" t="s">
        <v>355</v>
      </c>
      <c r="T10" s="75"/>
      <c r="U10" s="76" t="s">
        <v>356</v>
      </c>
      <c r="V10" s="75"/>
      <c r="W10" s="76" t="s">
        <v>344</v>
      </c>
      <c r="X10" s="76" t="s">
        <v>324</v>
      </c>
      <c r="Y10" s="75"/>
      <c r="Z10" s="76" t="s">
        <v>357</v>
      </c>
      <c r="AA10" s="75"/>
      <c r="AB10" s="76" t="s">
        <v>358</v>
      </c>
      <c r="AC10" s="6"/>
      <c r="AD10" s="76" t="s">
        <v>359</v>
      </c>
      <c r="AE10" s="6"/>
      <c r="AF10" s="75"/>
      <c r="AG10" s="76" t="s">
        <v>359</v>
      </c>
    </row>
    <row r="11" spans="1:33" ht="17" customHeight="1">
      <c r="A11" s="6"/>
      <c r="B11" s="77"/>
      <c r="C11" s="77"/>
      <c r="D11" s="77"/>
      <c r="E11" s="77"/>
      <c r="F11" s="77"/>
      <c r="G11" s="77"/>
      <c r="H11" s="77"/>
      <c r="I11" s="77"/>
      <c r="J11" s="77"/>
      <c r="K11" s="77"/>
      <c r="L11" s="77"/>
      <c r="M11" s="77"/>
      <c r="N11" s="16"/>
      <c r="O11" s="77"/>
      <c r="P11" s="77"/>
      <c r="Q11" s="77"/>
      <c r="R11" s="77"/>
      <c r="S11" s="77"/>
      <c r="T11" s="77"/>
      <c r="U11" s="77"/>
      <c r="V11" s="77"/>
      <c r="W11" s="77"/>
      <c r="X11" s="77"/>
      <c r="Y11" s="77"/>
      <c r="Z11" s="77"/>
      <c r="AA11" s="77"/>
      <c r="AB11" s="77"/>
      <c r="AC11" s="6"/>
      <c r="AD11" s="77"/>
      <c r="AE11" s="6"/>
      <c r="AF11" s="77"/>
      <c r="AG11" s="77"/>
    </row>
    <row r="12" spans="1:33" ht="17.5" customHeight="1">
      <c r="A12" s="22">
        <v>1834</v>
      </c>
      <c r="B12" s="17">
        <v>753.6</v>
      </c>
      <c r="C12" s="17"/>
      <c r="D12" s="17">
        <v>124.8</v>
      </c>
      <c r="E12" s="17"/>
      <c r="F12" s="17">
        <v>25.5</v>
      </c>
      <c r="G12" s="17"/>
      <c r="H12" s="17">
        <f t="shared" ref="H12:H37" si="0">B12+D12+F12</f>
        <v>903.9</v>
      </c>
      <c r="I12" s="17"/>
      <c r="J12" s="25">
        <v>419</v>
      </c>
      <c r="K12" s="25"/>
      <c r="L12" s="17">
        <f t="shared" ref="L12:L37" si="1">H12+J12</f>
        <v>1322.9</v>
      </c>
      <c r="M12" s="17"/>
      <c r="N12" s="16"/>
      <c r="O12" s="17">
        <v>32</v>
      </c>
      <c r="P12" s="17"/>
      <c r="Q12" s="17">
        <v>9.3000000000000007</v>
      </c>
      <c r="R12" s="17"/>
      <c r="S12" s="17">
        <v>5.5</v>
      </c>
      <c r="T12" s="17"/>
      <c r="U12" s="17">
        <v>66.7</v>
      </c>
      <c r="V12" s="17"/>
      <c r="W12" s="17">
        <f t="shared" ref="W12:W37" si="2">Q12+S12+U12</f>
        <v>81.5</v>
      </c>
      <c r="X12" s="17">
        <f t="shared" ref="X12:X37" si="3">O12+W12</f>
        <v>113.5</v>
      </c>
      <c r="Y12" s="17"/>
      <c r="Z12" s="17">
        <v>-33.5</v>
      </c>
      <c r="AA12" s="17"/>
      <c r="AB12" s="17">
        <f t="shared" ref="AB12:AB37" si="4">X12+Z12</f>
        <v>80</v>
      </c>
      <c r="AC12" s="17"/>
      <c r="AD12" s="17">
        <f t="shared" ref="AD12:AD37" si="5">L12+AB12</f>
        <v>1402.9</v>
      </c>
      <c r="AE12" s="6"/>
      <c r="AF12" s="6"/>
      <c r="AG12" s="17"/>
    </row>
    <row r="13" spans="1:33" ht="17.5" customHeight="1">
      <c r="A13" s="22">
        <f t="shared" ref="A13:A37" si="6">A12+1</f>
        <v>1835</v>
      </c>
      <c r="B13" s="17">
        <v>703.3</v>
      </c>
      <c r="C13" s="17"/>
      <c r="D13" s="17">
        <v>148.5</v>
      </c>
      <c r="E13" s="17"/>
      <c r="F13" s="17">
        <v>30.7</v>
      </c>
      <c r="G13" s="17"/>
      <c r="H13" s="17">
        <f t="shared" si="0"/>
        <v>882.5</v>
      </c>
      <c r="I13" s="17"/>
      <c r="J13" s="25">
        <v>426</v>
      </c>
      <c r="K13" s="25"/>
      <c r="L13" s="17">
        <f t="shared" si="1"/>
        <v>1308.5</v>
      </c>
      <c r="M13" s="17"/>
      <c r="N13" s="16"/>
      <c r="O13" s="17">
        <v>33.700000000000003</v>
      </c>
      <c r="P13" s="17"/>
      <c r="Q13" s="17">
        <v>11.2</v>
      </c>
      <c r="R13" s="17"/>
      <c r="S13" s="17">
        <v>5.0999999999999996</v>
      </c>
      <c r="T13" s="17"/>
      <c r="U13" s="17">
        <v>80.900000000000006</v>
      </c>
      <c r="V13" s="17"/>
      <c r="W13" s="17">
        <f t="shared" si="2"/>
        <v>97.2</v>
      </c>
      <c r="X13" s="17">
        <f t="shared" si="3"/>
        <v>130.9</v>
      </c>
      <c r="Y13" s="17"/>
      <c r="Z13" s="17">
        <v>-61.7</v>
      </c>
      <c r="AA13" s="17"/>
      <c r="AB13" s="17">
        <f t="shared" si="4"/>
        <v>69.2</v>
      </c>
      <c r="AC13" s="17"/>
      <c r="AD13" s="17">
        <f t="shared" si="5"/>
        <v>1377.7</v>
      </c>
      <c r="AE13" s="6"/>
      <c r="AF13" s="6"/>
      <c r="AG13" s="17"/>
    </row>
    <row r="14" spans="1:33" ht="17.5" customHeight="1">
      <c r="A14" s="22">
        <f t="shared" si="6"/>
        <v>1836</v>
      </c>
      <c r="B14" s="17">
        <v>688.7</v>
      </c>
      <c r="C14" s="17"/>
      <c r="D14" s="17">
        <v>113.9</v>
      </c>
      <c r="E14" s="17"/>
      <c r="F14" s="17">
        <v>28.8</v>
      </c>
      <c r="G14" s="17"/>
      <c r="H14" s="17">
        <f t="shared" si="0"/>
        <v>831.4</v>
      </c>
      <c r="I14" s="17"/>
      <c r="J14" s="25">
        <v>432</v>
      </c>
      <c r="K14" s="25"/>
      <c r="L14" s="17">
        <f t="shared" si="1"/>
        <v>1263.4000000000001</v>
      </c>
      <c r="M14" s="17"/>
      <c r="N14" s="16"/>
      <c r="O14" s="17">
        <v>31.7</v>
      </c>
      <c r="P14" s="17"/>
      <c r="Q14" s="17">
        <v>13.9</v>
      </c>
      <c r="R14" s="17"/>
      <c r="S14" s="17">
        <v>7.5</v>
      </c>
      <c r="T14" s="17"/>
      <c r="U14" s="17">
        <v>75.099999999999994</v>
      </c>
      <c r="V14" s="17"/>
      <c r="W14" s="17">
        <f t="shared" si="2"/>
        <v>96.5</v>
      </c>
      <c r="X14" s="17">
        <f t="shared" si="3"/>
        <v>128.19999999999999</v>
      </c>
      <c r="Y14" s="17"/>
      <c r="Z14" s="17">
        <v>-20.9</v>
      </c>
      <c r="AA14" s="17"/>
      <c r="AB14" s="17">
        <f t="shared" si="4"/>
        <v>107.29999999999998</v>
      </c>
      <c r="AC14" s="17"/>
      <c r="AD14" s="17">
        <f t="shared" si="5"/>
        <v>1370.7</v>
      </c>
      <c r="AE14" s="6"/>
      <c r="AF14" s="6"/>
      <c r="AG14" s="17"/>
    </row>
    <row r="15" spans="1:33" ht="17.5" customHeight="1">
      <c r="A15" s="22">
        <f t="shared" si="6"/>
        <v>1837</v>
      </c>
      <c r="B15" s="17">
        <v>754.6</v>
      </c>
      <c r="C15" s="17"/>
      <c r="D15" s="17">
        <v>99.9</v>
      </c>
      <c r="E15" s="17"/>
      <c r="F15" s="17">
        <v>34.4</v>
      </c>
      <c r="G15" s="17"/>
      <c r="H15" s="17">
        <f t="shared" si="0"/>
        <v>888.9</v>
      </c>
      <c r="I15" s="17"/>
      <c r="J15" s="25">
        <v>440</v>
      </c>
      <c r="K15" s="25"/>
      <c r="L15" s="17">
        <f t="shared" si="1"/>
        <v>1328.9</v>
      </c>
      <c r="M15" s="17"/>
      <c r="N15" s="16"/>
      <c r="O15" s="17">
        <v>33.299999999999997</v>
      </c>
      <c r="P15" s="17"/>
      <c r="Q15" s="17">
        <v>16.100000000000001</v>
      </c>
      <c r="R15" s="17"/>
      <c r="S15" s="17">
        <v>12.3</v>
      </c>
      <c r="T15" s="17"/>
      <c r="U15" s="17">
        <v>101.4</v>
      </c>
      <c r="V15" s="17"/>
      <c r="W15" s="17">
        <f t="shared" si="2"/>
        <v>129.80000000000001</v>
      </c>
      <c r="X15" s="17">
        <f t="shared" si="3"/>
        <v>163.10000000000002</v>
      </c>
      <c r="Y15" s="17"/>
      <c r="Z15" s="17">
        <v>-5</v>
      </c>
      <c r="AA15" s="17"/>
      <c r="AB15" s="17">
        <f t="shared" si="4"/>
        <v>158.10000000000002</v>
      </c>
      <c r="AC15" s="17"/>
      <c r="AD15" s="17">
        <f t="shared" si="5"/>
        <v>1487</v>
      </c>
      <c r="AE15" s="6"/>
      <c r="AF15" s="6"/>
      <c r="AG15" s="17"/>
    </row>
    <row r="16" spans="1:33" ht="17.5" customHeight="1">
      <c r="A16" s="22">
        <f t="shared" si="6"/>
        <v>1838</v>
      </c>
      <c r="B16" s="17">
        <v>718.5</v>
      </c>
      <c r="C16" s="17"/>
      <c r="D16" s="17">
        <v>150.9</v>
      </c>
      <c r="E16" s="17"/>
      <c r="F16" s="17">
        <v>36.700000000000003</v>
      </c>
      <c r="G16" s="17"/>
      <c r="H16" s="17">
        <f t="shared" si="0"/>
        <v>906.1</v>
      </c>
      <c r="I16" s="17"/>
      <c r="J16" s="25">
        <v>449</v>
      </c>
      <c r="K16" s="25"/>
      <c r="L16" s="17">
        <f t="shared" si="1"/>
        <v>1355.1</v>
      </c>
      <c r="M16" s="17"/>
      <c r="N16" s="16"/>
      <c r="O16" s="17">
        <v>33.9</v>
      </c>
      <c r="P16" s="17"/>
      <c r="Q16" s="17">
        <v>16.899999999999999</v>
      </c>
      <c r="R16" s="17"/>
      <c r="S16" s="17">
        <v>15.6</v>
      </c>
      <c r="T16" s="17"/>
      <c r="U16" s="17">
        <v>118.2</v>
      </c>
      <c r="V16" s="17"/>
      <c r="W16" s="17">
        <f t="shared" si="2"/>
        <v>150.69999999999999</v>
      </c>
      <c r="X16" s="17">
        <f t="shared" si="3"/>
        <v>184.6</v>
      </c>
      <c r="Y16" s="17"/>
      <c r="Z16" s="17">
        <v>-46.9</v>
      </c>
      <c r="AA16" s="17"/>
      <c r="AB16" s="17">
        <f t="shared" si="4"/>
        <v>137.69999999999999</v>
      </c>
      <c r="AC16" s="17"/>
      <c r="AD16" s="17">
        <f t="shared" si="5"/>
        <v>1492.8</v>
      </c>
      <c r="AE16" s="6"/>
      <c r="AF16" s="6"/>
      <c r="AG16" s="17"/>
    </row>
    <row r="17" spans="1:33" ht="17.5" customHeight="1">
      <c r="A17" s="22">
        <f t="shared" si="6"/>
        <v>1839</v>
      </c>
      <c r="B17" s="17">
        <v>826.3</v>
      </c>
      <c r="C17" s="17"/>
      <c r="D17" s="17">
        <v>107.8</v>
      </c>
      <c r="E17" s="17"/>
      <c r="F17" s="17">
        <v>31.1</v>
      </c>
      <c r="G17" s="17"/>
      <c r="H17" s="17">
        <f t="shared" si="0"/>
        <v>965.19999999999993</v>
      </c>
      <c r="I17" s="17"/>
      <c r="J17" s="25">
        <v>457</v>
      </c>
      <c r="K17" s="25"/>
      <c r="L17" s="17">
        <f t="shared" si="1"/>
        <v>1422.1999999999998</v>
      </c>
      <c r="M17" s="17"/>
      <c r="N17" s="16"/>
      <c r="O17" s="17">
        <v>27.1</v>
      </c>
      <c r="P17" s="17"/>
      <c r="Q17" s="17">
        <v>15.1</v>
      </c>
      <c r="R17" s="17"/>
      <c r="S17" s="17">
        <v>16.899999999999999</v>
      </c>
      <c r="T17" s="17"/>
      <c r="U17" s="17">
        <v>108.1</v>
      </c>
      <c r="V17" s="17"/>
      <c r="W17" s="17">
        <f t="shared" si="2"/>
        <v>140.1</v>
      </c>
      <c r="X17" s="17">
        <f t="shared" si="3"/>
        <v>167.2</v>
      </c>
      <c r="Y17" s="17"/>
      <c r="Z17" s="17">
        <v>33.200000000000003</v>
      </c>
      <c r="AA17" s="17"/>
      <c r="AB17" s="17">
        <f t="shared" si="4"/>
        <v>200.39999999999998</v>
      </c>
      <c r="AC17" s="17"/>
      <c r="AD17" s="17">
        <f t="shared" si="5"/>
        <v>1622.6</v>
      </c>
      <c r="AE17" s="6"/>
      <c r="AF17" s="6"/>
      <c r="AG17" s="17"/>
    </row>
    <row r="18" spans="1:33" ht="17.5" customHeight="1">
      <c r="A18" s="22">
        <f t="shared" si="6"/>
        <v>1840</v>
      </c>
      <c r="B18" s="17">
        <v>832.7</v>
      </c>
      <c r="C18" s="17"/>
      <c r="D18" s="17">
        <v>125.3</v>
      </c>
      <c r="E18" s="17"/>
      <c r="F18" s="17">
        <v>29</v>
      </c>
      <c r="G18" s="17"/>
      <c r="H18" s="17">
        <f t="shared" si="0"/>
        <v>987</v>
      </c>
      <c r="I18" s="17"/>
      <c r="J18" s="25">
        <v>465</v>
      </c>
      <c r="K18" s="25"/>
      <c r="L18" s="17">
        <f t="shared" si="1"/>
        <v>1452</v>
      </c>
      <c r="M18" s="17"/>
      <c r="N18" s="16"/>
      <c r="O18" s="17">
        <v>25.5</v>
      </c>
      <c r="P18" s="17"/>
      <c r="Q18" s="17">
        <v>12.6</v>
      </c>
      <c r="R18" s="17"/>
      <c r="S18" s="17">
        <v>16.3</v>
      </c>
      <c r="T18" s="17"/>
      <c r="U18" s="17">
        <v>111</v>
      </c>
      <c r="V18" s="17"/>
      <c r="W18" s="17">
        <f t="shared" si="2"/>
        <v>139.9</v>
      </c>
      <c r="X18" s="17">
        <f t="shared" si="3"/>
        <v>165.4</v>
      </c>
      <c r="Y18" s="17"/>
      <c r="Z18" s="17">
        <v>-8.3000000000000007</v>
      </c>
      <c r="AA18" s="17"/>
      <c r="AB18" s="17">
        <f t="shared" si="4"/>
        <v>157.1</v>
      </c>
      <c r="AC18" s="17"/>
      <c r="AD18" s="17">
        <f t="shared" si="5"/>
        <v>1609.1</v>
      </c>
      <c r="AE18" s="6"/>
      <c r="AF18" s="6"/>
      <c r="AG18" s="17"/>
    </row>
    <row r="19" spans="1:33" ht="17.5" customHeight="1">
      <c r="A19" s="22">
        <f t="shared" si="6"/>
        <v>1841</v>
      </c>
      <c r="B19" s="17">
        <v>859.5</v>
      </c>
      <c r="C19" s="17"/>
      <c r="D19" s="17">
        <v>140.6</v>
      </c>
      <c r="E19" s="17"/>
      <c r="F19" s="17">
        <v>36.200000000000003</v>
      </c>
      <c r="G19" s="17"/>
      <c r="H19" s="17">
        <f t="shared" si="0"/>
        <v>1036.3</v>
      </c>
      <c r="I19" s="17"/>
      <c r="J19" s="25">
        <v>474</v>
      </c>
      <c r="K19" s="25"/>
      <c r="L19" s="17">
        <f t="shared" si="1"/>
        <v>1510.3</v>
      </c>
      <c r="M19" s="17"/>
      <c r="N19" s="16"/>
      <c r="O19" s="17">
        <v>31.2</v>
      </c>
      <c r="P19" s="17"/>
      <c r="Q19" s="17">
        <v>10</v>
      </c>
      <c r="R19" s="17"/>
      <c r="S19" s="17">
        <v>9.5</v>
      </c>
      <c r="T19" s="17"/>
      <c r="U19" s="17">
        <v>111</v>
      </c>
      <c r="V19" s="17"/>
      <c r="W19" s="17">
        <f t="shared" si="2"/>
        <v>130.5</v>
      </c>
      <c r="X19" s="17">
        <f t="shared" si="3"/>
        <v>161.69999999999999</v>
      </c>
      <c r="Y19" s="17"/>
      <c r="Z19" s="17">
        <v>7</v>
      </c>
      <c r="AA19" s="17"/>
      <c r="AB19" s="17">
        <f t="shared" si="4"/>
        <v>168.7</v>
      </c>
      <c r="AC19" s="17"/>
      <c r="AD19" s="17">
        <f t="shared" si="5"/>
        <v>1679</v>
      </c>
      <c r="AE19" s="6"/>
      <c r="AF19" s="6"/>
      <c r="AG19" s="17"/>
    </row>
    <row r="20" spans="1:33" ht="17.5" customHeight="1">
      <c r="A20" s="22">
        <f t="shared" si="6"/>
        <v>1842</v>
      </c>
      <c r="B20" s="17">
        <v>894.1</v>
      </c>
      <c r="C20" s="17"/>
      <c r="D20" s="17">
        <v>89</v>
      </c>
      <c r="E20" s="17"/>
      <c r="F20" s="17">
        <v>40</v>
      </c>
      <c r="G20" s="17"/>
      <c r="H20" s="17">
        <f t="shared" si="0"/>
        <v>1023.1</v>
      </c>
      <c r="I20" s="17"/>
      <c r="J20" s="25">
        <v>484</v>
      </c>
      <c r="K20" s="25"/>
      <c r="L20" s="17">
        <f t="shared" si="1"/>
        <v>1507.1</v>
      </c>
      <c r="M20" s="17"/>
      <c r="N20" s="16"/>
      <c r="O20" s="17">
        <v>32.4</v>
      </c>
      <c r="P20" s="17"/>
      <c r="Q20" s="17">
        <v>6.5</v>
      </c>
      <c r="R20" s="17"/>
      <c r="S20" s="17">
        <v>2.7</v>
      </c>
      <c r="T20" s="17"/>
      <c r="U20" s="17">
        <v>104.3</v>
      </c>
      <c r="V20" s="17"/>
      <c r="W20" s="17">
        <f t="shared" si="2"/>
        <v>113.5</v>
      </c>
      <c r="X20" s="17">
        <f t="shared" si="3"/>
        <v>145.9</v>
      </c>
      <c r="Y20" s="17"/>
      <c r="Z20" s="17">
        <v>26.8</v>
      </c>
      <c r="AA20" s="17"/>
      <c r="AB20" s="17">
        <f t="shared" si="4"/>
        <v>172.70000000000002</v>
      </c>
      <c r="AC20" s="17"/>
      <c r="AD20" s="17">
        <f t="shared" si="5"/>
        <v>1679.8</v>
      </c>
      <c r="AE20" s="6"/>
      <c r="AF20" s="6"/>
      <c r="AG20" s="17"/>
    </row>
    <row r="21" spans="1:33" ht="17.5" customHeight="1">
      <c r="A21" s="22">
        <f t="shared" si="6"/>
        <v>1843</v>
      </c>
      <c r="B21" s="17">
        <v>1044.5999999999999</v>
      </c>
      <c r="C21" s="17"/>
      <c r="D21" s="17">
        <v>146.69999999999999</v>
      </c>
      <c r="E21" s="17"/>
      <c r="F21" s="17">
        <v>41.8</v>
      </c>
      <c r="G21" s="17"/>
      <c r="H21" s="17">
        <f t="shared" si="0"/>
        <v>1233.0999999999999</v>
      </c>
      <c r="I21" s="17"/>
      <c r="J21" s="25">
        <v>493</v>
      </c>
      <c r="K21" s="25"/>
      <c r="L21" s="17">
        <f t="shared" si="1"/>
        <v>1726.1</v>
      </c>
      <c r="M21" s="17"/>
      <c r="N21" s="16"/>
      <c r="O21" s="17">
        <v>34.200000000000003</v>
      </c>
      <c r="P21" s="17"/>
      <c r="Q21" s="17">
        <v>5.8</v>
      </c>
      <c r="R21" s="17"/>
      <c r="S21" s="17">
        <v>1.3</v>
      </c>
      <c r="T21" s="17"/>
      <c r="U21" s="17">
        <v>107.1</v>
      </c>
      <c r="V21" s="17"/>
      <c r="W21" s="17">
        <f t="shared" si="2"/>
        <v>114.19999999999999</v>
      </c>
      <c r="X21" s="17">
        <f t="shared" si="3"/>
        <v>148.39999999999998</v>
      </c>
      <c r="Y21" s="17"/>
      <c r="Z21" s="17">
        <v>5.7</v>
      </c>
      <c r="AA21" s="17"/>
      <c r="AB21" s="17">
        <f t="shared" si="4"/>
        <v>154.09999999999997</v>
      </c>
      <c r="AC21" s="17"/>
      <c r="AD21" s="17">
        <f t="shared" si="5"/>
        <v>1880.1999999999998</v>
      </c>
      <c r="AE21" s="6"/>
      <c r="AF21" s="6"/>
      <c r="AG21" s="17"/>
    </row>
    <row r="22" spans="1:33" ht="17.5" customHeight="1">
      <c r="A22" s="22">
        <f t="shared" si="6"/>
        <v>1844</v>
      </c>
      <c r="B22" s="17">
        <v>1008.7</v>
      </c>
      <c r="C22" s="17"/>
      <c r="D22" s="17">
        <v>217.4</v>
      </c>
      <c r="E22" s="17"/>
      <c r="F22" s="17">
        <v>51.9</v>
      </c>
      <c r="G22" s="17"/>
      <c r="H22" s="17">
        <f t="shared" si="0"/>
        <v>1278.0000000000002</v>
      </c>
      <c r="I22" s="17"/>
      <c r="J22" s="25">
        <v>502</v>
      </c>
      <c r="K22" s="25"/>
      <c r="L22" s="17">
        <f t="shared" si="1"/>
        <v>1780.0000000000002</v>
      </c>
      <c r="M22" s="17"/>
      <c r="N22" s="16"/>
      <c r="O22" s="17">
        <v>44.4</v>
      </c>
      <c r="P22" s="17"/>
      <c r="Q22" s="17">
        <v>7.2</v>
      </c>
      <c r="R22" s="17"/>
      <c r="S22" s="17">
        <v>1.9</v>
      </c>
      <c r="T22" s="17"/>
      <c r="U22" s="17">
        <v>136.4</v>
      </c>
      <c r="V22" s="17"/>
      <c r="W22" s="17">
        <f t="shared" si="2"/>
        <v>145.5</v>
      </c>
      <c r="X22" s="17">
        <f t="shared" si="3"/>
        <v>189.9</v>
      </c>
      <c r="Y22" s="17"/>
      <c r="Z22" s="17">
        <v>4.2</v>
      </c>
      <c r="AA22" s="17"/>
      <c r="AB22" s="17">
        <f t="shared" si="4"/>
        <v>194.1</v>
      </c>
      <c r="AC22" s="17"/>
      <c r="AD22" s="17">
        <f t="shared" si="5"/>
        <v>1974.1000000000001</v>
      </c>
      <c r="AE22" s="6"/>
      <c r="AF22" s="6"/>
      <c r="AG22" s="17"/>
    </row>
    <row r="23" spans="1:33" ht="17.5" customHeight="1">
      <c r="A23" s="22">
        <f t="shared" si="6"/>
        <v>1845</v>
      </c>
      <c r="B23" s="17">
        <v>1057.7</v>
      </c>
      <c r="C23" s="17"/>
      <c r="D23" s="17">
        <v>209.4</v>
      </c>
      <c r="E23" s="17"/>
      <c r="F23" s="17">
        <v>60.2</v>
      </c>
      <c r="G23" s="17"/>
      <c r="H23" s="17">
        <f t="shared" si="0"/>
        <v>1327.3000000000002</v>
      </c>
      <c r="I23" s="17"/>
      <c r="J23" s="25">
        <v>514</v>
      </c>
      <c r="K23" s="25"/>
      <c r="L23" s="17">
        <f t="shared" si="1"/>
        <v>1841.3000000000002</v>
      </c>
      <c r="M23" s="17"/>
      <c r="N23" s="16"/>
      <c r="O23" s="17">
        <v>51</v>
      </c>
      <c r="P23" s="17"/>
      <c r="Q23" s="17">
        <v>10.1</v>
      </c>
      <c r="R23" s="17"/>
      <c r="S23" s="17">
        <v>2.4</v>
      </c>
      <c r="T23" s="17"/>
      <c r="U23" s="17">
        <v>164</v>
      </c>
      <c r="V23" s="17"/>
      <c r="W23" s="17">
        <f t="shared" si="2"/>
        <v>176.5</v>
      </c>
      <c r="X23" s="17">
        <f t="shared" si="3"/>
        <v>227.5</v>
      </c>
      <c r="Y23" s="17"/>
      <c r="Z23" s="17">
        <v>0.9</v>
      </c>
      <c r="AA23" s="17"/>
      <c r="AB23" s="17">
        <f t="shared" si="4"/>
        <v>228.4</v>
      </c>
      <c r="AC23" s="17"/>
      <c r="AD23" s="17">
        <f t="shared" si="5"/>
        <v>2069.7000000000003</v>
      </c>
      <c r="AE23" s="6"/>
      <c r="AF23" s="6"/>
      <c r="AG23" s="17"/>
    </row>
    <row r="24" spans="1:33" ht="17.5" customHeight="1">
      <c r="A24" s="22">
        <f t="shared" si="6"/>
        <v>1846</v>
      </c>
      <c r="B24" s="17">
        <v>1022.1</v>
      </c>
      <c r="C24" s="17"/>
      <c r="D24" s="17">
        <v>218.8</v>
      </c>
      <c r="E24" s="17"/>
      <c r="F24" s="17">
        <v>68.400000000000006</v>
      </c>
      <c r="G24" s="17"/>
      <c r="H24" s="17">
        <f t="shared" si="0"/>
        <v>1309.3000000000002</v>
      </c>
      <c r="I24" s="17"/>
      <c r="J24" s="25">
        <v>531</v>
      </c>
      <c r="K24" s="25"/>
      <c r="L24" s="17">
        <f t="shared" si="1"/>
        <v>1840.3000000000002</v>
      </c>
      <c r="M24" s="17"/>
      <c r="N24" s="16"/>
      <c r="O24" s="17">
        <v>59.9</v>
      </c>
      <c r="P24" s="17"/>
      <c r="Q24" s="17">
        <v>16.899999999999999</v>
      </c>
      <c r="R24" s="17"/>
      <c r="S24" s="17">
        <v>4.2</v>
      </c>
      <c r="T24" s="17"/>
      <c r="U24" s="17">
        <v>187.4</v>
      </c>
      <c r="V24" s="17"/>
      <c r="W24" s="17">
        <f t="shared" si="2"/>
        <v>208.5</v>
      </c>
      <c r="X24" s="17">
        <f t="shared" si="3"/>
        <v>268.39999999999998</v>
      </c>
      <c r="Y24" s="17"/>
      <c r="Z24" s="17">
        <v>27</v>
      </c>
      <c r="AA24" s="17"/>
      <c r="AB24" s="17">
        <f t="shared" si="4"/>
        <v>295.39999999999998</v>
      </c>
      <c r="AC24" s="17"/>
      <c r="AD24" s="17">
        <f t="shared" si="5"/>
        <v>2135.7000000000003</v>
      </c>
      <c r="AE24" s="6"/>
      <c r="AF24" s="6"/>
      <c r="AG24" s="17"/>
    </row>
    <row r="25" spans="1:33" ht="17.5" customHeight="1">
      <c r="A25" s="22">
        <f t="shared" si="6"/>
        <v>1847</v>
      </c>
      <c r="B25" s="17">
        <v>1133.2</v>
      </c>
      <c r="C25" s="17"/>
      <c r="D25" s="17">
        <v>302.60000000000002</v>
      </c>
      <c r="E25" s="17"/>
      <c r="F25" s="17">
        <v>82.9</v>
      </c>
      <c r="G25" s="17"/>
      <c r="H25" s="17">
        <f t="shared" si="0"/>
        <v>1518.7000000000003</v>
      </c>
      <c r="I25" s="17"/>
      <c r="J25" s="25">
        <v>550</v>
      </c>
      <c r="K25" s="25"/>
      <c r="L25" s="17">
        <f t="shared" si="1"/>
        <v>2068.7000000000003</v>
      </c>
      <c r="M25" s="17"/>
      <c r="N25" s="16"/>
      <c r="O25" s="17">
        <v>75.5</v>
      </c>
      <c r="P25" s="17"/>
      <c r="Q25" s="17">
        <v>27.2</v>
      </c>
      <c r="R25" s="17"/>
      <c r="S25" s="17">
        <v>5.8</v>
      </c>
      <c r="T25" s="17"/>
      <c r="U25" s="17">
        <v>184.5</v>
      </c>
      <c r="V25" s="17"/>
      <c r="W25" s="17">
        <f t="shared" si="2"/>
        <v>217.5</v>
      </c>
      <c r="X25" s="17">
        <f t="shared" si="3"/>
        <v>293</v>
      </c>
      <c r="Y25" s="17"/>
      <c r="Z25" s="17">
        <v>5.8</v>
      </c>
      <c r="AA25" s="17"/>
      <c r="AB25" s="17">
        <f t="shared" si="4"/>
        <v>298.8</v>
      </c>
      <c r="AC25" s="17"/>
      <c r="AD25" s="17">
        <f t="shared" si="5"/>
        <v>2367.5000000000005</v>
      </c>
      <c r="AE25" s="6"/>
      <c r="AF25" s="6"/>
      <c r="AG25" s="17"/>
    </row>
    <row r="26" spans="1:33" ht="17.5" customHeight="1">
      <c r="A26" s="22">
        <f t="shared" si="6"/>
        <v>1848</v>
      </c>
      <c r="B26" s="17">
        <v>1144.7</v>
      </c>
      <c r="C26" s="17"/>
      <c r="D26" s="17">
        <v>298.2</v>
      </c>
      <c r="E26" s="17"/>
      <c r="F26" s="17">
        <v>90.3</v>
      </c>
      <c r="G26" s="17"/>
      <c r="H26" s="17">
        <f t="shared" si="0"/>
        <v>1533.2</v>
      </c>
      <c r="I26" s="17"/>
      <c r="J26" s="25">
        <v>570</v>
      </c>
      <c r="K26" s="25"/>
      <c r="L26" s="17">
        <f t="shared" si="1"/>
        <v>2103.1999999999998</v>
      </c>
      <c r="M26" s="17"/>
      <c r="N26" s="16"/>
      <c r="O26" s="17">
        <v>68.599999999999994</v>
      </c>
      <c r="P26" s="17"/>
      <c r="Q26" s="17">
        <v>33.4</v>
      </c>
      <c r="R26" s="17"/>
      <c r="S26" s="17">
        <v>4.8</v>
      </c>
      <c r="T26" s="17"/>
      <c r="U26" s="17">
        <v>177.1</v>
      </c>
      <c r="V26" s="17"/>
      <c r="W26" s="17">
        <f t="shared" si="2"/>
        <v>215.29999999999998</v>
      </c>
      <c r="X26" s="17">
        <f t="shared" si="3"/>
        <v>283.89999999999998</v>
      </c>
      <c r="Y26" s="17"/>
      <c r="Z26" s="17">
        <v>8.8000000000000007</v>
      </c>
      <c r="AA26" s="17"/>
      <c r="AB26" s="17">
        <f t="shared" si="4"/>
        <v>292.7</v>
      </c>
      <c r="AC26" s="17"/>
      <c r="AD26" s="17">
        <f t="shared" si="5"/>
        <v>2395.8999999999996</v>
      </c>
      <c r="AE26" s="6"/>
      <c r="AF26" s="6"/>
      <c r="AG26" s="17"/>
    </row>
    <row r="27" spans="1:33" ht="17.5" customHeight="1">
      <c r="A27" s="22">
        <f t="shared" si="6"/>
        <v>1849</v>
      </c>
      <c r="B27" s="17">
        <v>1145.4000000000001</v>
      </c>
      <c r="C27" s="17"/>
      <c r="D27" s="17">
        <v>334.9</v>
      </c>
      <c r="E27" s="17"/>
      <c r="F27" s="17">
        <v>96.6</v>
      </c>
      <c r="G27" s="17"/>
      <c r="H27" s="17">
        <f t="shared" si="0"/>
        <v>1576.9</v>
      </c>
      <c r="I27" s="17"/>
      <c r="J27" s="25">
        <v>594</v>
      </c>
      <c r="K27" s="25"/>
      <c r="L27" s="17">
        <f t="shared" si="1"/>
        <v>2170.9</v>
      </c>
      <c r="M27" s="17"/>
      <c r="N27" s="16"/>
      <c r="O27" s="17">
        <v>66.5</v>
      </c>
      <c r="P27" s="17"/>
      <c r="Q27" s="17">
        <v>35.1</v>
      </c>
      <c r="R27" s="17"/>
      <c r="S27" s="17">
        <v>5</v>
      </c>
      <c r="T27" s="17"/>
      <c r="U27" s="17">
        <v>177.3</v>
      </c>
      <c r="V27" s="17"/>
      <c r="W27" s="17">
        <f t="shared" si="2"/>
        <v>217.4</v>
      </c>
      <c r="X27" s="17">
        <f t="shared" si="3"/>
        <v>283.89999999999998</v>
      </c>
      <c r="Y27" s="17"/>
      <c r="Z27" s="17">
        <v>-25.7</v>
      </c>
      <c r="AA27" s="17"/>
      <c r="AB27" s="17">
        <f t="shared" si="4"/>
        <v>258.2</v>
      </c>
      <c r="AC27" s="17"/>
      <c r="AD27" s="17">
        <f t="shared" si="5"/>
        <v>2429.1</v>
      </c>
      <c r="AE27" s="6"/>
      <c r="AF27" s="6"/>
      <c r="AG27" s="17"/>
    </row>
    <row r="28" spans="1:33" ht="17.5" customHeight="1">
      <c r="A28" s="22">
        <f t="shared" si="6"/>
        <v>1850</v>
      </c>
      <c r="B28" s="17">
        <v>1178</v>
      </c>
      <c r="C28" s="17"/>
      <c r="D28" s="17">
        <v>402.1</v>
      </c>
      <c r="E28" s="17"/>
      <c r="F28" s="17">
        <v>108.5</v>
      </c>
      <c r="G28" s="17"/>
      <c r="H28" s="17">
        <f t="shared" si="0"/>
        <v>1688.6</v>
      </c>
      <c r="I28" s="17"/>
      <c r="J28" s="25">
        <v>616</v>
      </c>
      <c r="K28" s="25"/>
      <c r="L28" s="17">
        <f t="shared" si="1"/>
        <v>2304.6</v>
      </c>
      <c r="M28" s="17"/>
      <c r="N28" s="16"/>
      <c r="O28" s="17">
        <v>75.7</v>
      </c>
      <c r="P28" s="17"/>
      <c r="Q28" s="17">
        <v>41.9</v>
      </c>
      <c r="R28" s="17"/>
      <c r="S28" s="17">
        <v>5.7</v>
      </c>
      <c r="T28" s="17"/>
      <c r="U28" s="17">
        <v>211.7</v>
      </c>
      <c r="V28" s="17"/>
      <c r="W28" s="17">
        <f t="shared" si="2"/>
        <v>259.3</v>
      </c>
      <c r="X28" s="17">
        <f t="shared" si="3"/>
        <v>335</v>
      </c>
      <c r="Y28" s="17"/>
      <c r="Z28" s="17">
        <v>-4.4000000000000004</v>
      </c>
      <c r="AA28" s="17"/>
      <c r="AB28" s="17">
        <f t="shared" si="4"/>
        <v>330.6</v>
      </c>
      <c r="AC28" s="17"/>
      <c r="AD28" s="17">
        <f t="shared" si="5"/>
        <v>2635.2</v>
      </c>
      <c r="AE28" s="6"/>
      <c r="AF28" s="6"/>
      <c r="AG28" s="17"/>
    </row>
    <row r="29" spans="1:33" ht="17.5" customHeight="1">
      <c r="A29" s="22">
        <f t="shared" si="6"/>
        <v>1851</v>
      </c>
      <c r="B29" s="17">
        <v>1270.5</v>
      </c>
      <c r="C29" s="17"/>
      <c r="D29" s="17">
        <v>401.4</v>
      </c>
      <c r="E29" s="17"/>
      <c r="F29" s="17">
        <v>127.8</v>
      </c>
      <c r="G29" s="17"/>
      <c r="H29" s="17">
        <f t="shared" si="0"/>
        <v>1799.7</v>
      </c>
      <c r="I29" s="17"/>
      <c r="J29" s="25">
        <v>647</v>
      </c>
      <c r="K29" s="25"/>
      <c r="L29" s="17">
        <f t="shared" si="1"/>
        <v>2446.6999999999998</v>
      </c>
      <c r="M29" s="17"/>
      <c r="N29" s="16"/>
      <c r="O29" s="17">
        <v>86.9</v>
      </c>
      <c r="P29" s="17"/>
      <c r="Q29" s="17">
        <v>55.3</v>
      </c>
      <c r="R29" s="17"/>
      <c r="S29" s="17">
        <v>4.7</v>
      </c>
      <c r="T29" s="17"/>
      <c r="U29" s="17">
        <v>252</v>
      </c>
      <c r="V29" s="17"/>
      <c r="W29" s="17">
        <f t="shared" si="2"/>
        <v>312</v>
      </c>
      <c r="X29" s="17">
        <f t="shared" si="3"/>
        <v>398.9</v>
      </c>
      <c r="Y29" s="17"/>
      <c r="Z29" s="17">
        <v>-14.1</v>
      </c>
      <c r="AA29" s="17"/>
      <c r="AB29" s="17">
        <f t="shared" si="4"/>
        <v>384.79999999999995</v>
      </c>
      <c r="AC29" s="17"/>
      <c r="AD29" s="17">
        <f t="shared" si="5"/>
        <v>2831.5</v>
      </c>
      <c r="AE29" s="6"/>
      <c r="AF29" s="6"/>
      <c r="AG29" s="17"/>
    </row>
    <row r="30" spans="1:33" ht="17.5" customHeight="1">
      <c r="A30" s="22">
        <f t="shared" si="6"/>
        <v>1852</v>
      </c>
      <c r="B30" s="17">
        <v>1409.2</v>
      </c>
      <c r="C30" s="17"/>
      <c r="D30" s="17">
        <v>498.1</v>
      </c>
      <c r="E30" s="17"/>
      <c r="F30" s="17">
        <v>156.6</v>
      </c>
      <c r="G30" s="17"/>
      <c r="H30" s="17">
        <f t="shared" si="0"/>
        <v>2063.9</v>
      </c>
      <c r="I30" s="17"/>
      <c r="J30" s="25">
        <v>682</v>
      </c>
      <c r="K30" s="25"/>
      <c r="L30" s="17">
        <f t="shared" si="1"/>
        <v>2745.9</v>
      </c>
      <c r="M30" s="17"/>
      <c r="N30" s="16"/>
      <c r="O30" s="17">
        <v>102.6</v>
      </c>
      <c r="P30" s="17"/>
      <c r="Q30" s="17">
        <v>72.3</v>
      </c>
      <c r="R30" s="17"/>
      <c r="S30" s="17">
        <v>4.0999999999999996</v>
      </c>
      <c r="T30" s="17"/>
      <c r="U30" s="17">
        <v>292.2</v>
      </c>
      <c r="V30" s="17"/>
      <c r="W30" s="17">
        <f t="shared" si="2"/>
        <v>368.59999999999997</v>
      </c>
      <c r="X30" s="17">
        <f t="shared" si="3"/>
        <v>471.19999999999993</v>
      </c>
      <c r="Y30" s="17"/>
      <c r="Z30" s="17">
        <v>-57.9</v>
      </c>
      <c r="AA30" s="17"/>
      <c r="AB30" s="17">
        <f t="shared" si="4"/>
        <v>413.29999999999995</v>
      </c>
      <c r="AC30" s="17"/>
      <c r="AD30" s="17">
        <f t="shared" si="5"/>
        <v>3159.2</v>
      </c>
      <c r="AE30" s="6"/>
      <c r="AF30" s="6"/>
      <c r="AG30" s="17"/>
    </row>
    <row r="31" spans="1:33" ht="17.5" customHeight="1">
      <c r="A31" s="22">
        <f t="shared" si="6"/>
        <v>1853</v>
      </c>
      <c r="B31" s="17">
        <v>1513.1</v>
      </c>
      <c r="C31" s="17"/>
      <c r="D31" s="17">
        <v>598.6</v>
      </c>
      <c r="E31" s="17"/>
      <c r="F31" s="17">
        <v>162</v>
      </c>
      <c r="G31" s="17"/>
      <c r="H31" s="17">
        <f t="shared" si="0"/>
        <v>2273.6999999999998</v>
      </c>
      <c r="I31" s="17"/>
      <c r="J31" s="25">
        <v>721</v>
      </c>
      <c r="K31" s="25"/>
      <c r="L31" s="17">
        <f t="shared" si="1"/>
        <v>2994.7</v>
      </c>
      <c r="M31" s="17"/>
      <c r="N31" s="16"/>
      <c r="O31" s="17">
        <v>112.3</v>
      </c>
      <c r="P31" s="17"/>
      <c r="Q31" s="17">
        <v>86.8</v>
      </c>
      <c r="R31" s="17"/>
      <c r="S31" s="17">
        <v>4.7</v>
      </c>
      <c r="T31" s="17"/>
      <c r="U31" s="17">
        <v>326.39999999999998</v>
      </c>
      <c r="V31" s="17"/>
      <c r="W31" s="17">
        <f t="shared" si="2"/>
        <v>417.9</v>
      </c>
      <c r="X31" s="17">
        <f t="shared" si="3"/>
        <v>530.19999999999993</v>
      </c>
      <c r="Y31" s="17"/>
      <c r="Z31" s="17">
        <v>-34.200000000000003</v>
      </c>
      <c r="AA31" s="17"/>
      <c r="AB31" s="17">
        <f t="shared" si="4"/>
        <v>495.99999999999994</v>
      </c>
      <c r="AC31" s="17"/>
      <c r="AD31" s="17">
        <f t="shared" si="5"/>
        <v>3490.7</v>
      </c>
      <c r="AE31" s="6"/>
      <c r="AF31" s="6"/>
      <c r="AG31" s="17"/>
    </row>
    <row r="32" spans="1:33" ht="17.5" customHeight="1">
      <c r="A32" s="22">
        <f t="shared" si="6"/>
        <v>1854</v>
      </c>
      <c r="B32" s="17">
        <v>1457</v>
      </c>
      <c r="C32" s="17"/>
      <c r="D32" s="17">
        <v>445.9</v>
      </c>
      <c r="E32" s="17"/>
      <c r="F32" s="17">
        <v>162.30000000000001</v>
      </c>
      <c r="G32" s="17"/>
      <c r="H32" s="17">
        <f t="shared" si="0"/>
        <v>2065.2000000000003</v>
      </c>
      <c r="I32" s="17"/>
      <c r="J32" s="25">
        <v>758</v>
      </c>
      <c r="K32" s="25"/>
      <c r="L32" s="17">
        <f t="shared" si="1"/>
        <v>2823.2000000000003</v>
      </c>
      <c r="M32" s="17"/>
      <c r="N32" s="16"/>
      <c r="O32" s="17">
        <v>124.1</v>
      </c>
      <c r="P32" s="17"/>
      <c r="Q32" s="17">
        <v>78.099999999999994</v>
      </c>
      <c r="R32" s="17"/>
      <c r="S32" s="17">
        <v>5.5</v>
      </c>
      <c r="T32" s="17"/>
      <c r="U32" s="17">
        <v>346.9</v>
      </c>
      <c r="V32" s="17"/>
      <c r="W32" s="17">
        <f t="shared" si="2"/>
        <v>430.5</v>
      </c>
      <c r="X32" s="17">
        <f t="shared" si="3"/>
        <v>554.6</v>
      </c>
      <c r="Y32" s="17"/>
      <c r="Z32" s="17">
        <v>-12.2</v>
      </c>
      <c r="AA32" s="17"/>
      <c r="AB32" s="17">
        <f t="shared" si="4"/>
        <v>542.4</v>
      </c>
      <c r="AC32" s="17"/>
      <c r="AD32" s="17">
        <f t="shared" si="5"/>
        <v>3365.6000000000004</v>
      </c>
      <c r="AE32" s="6"/>
      <c r="AF32" s="6"/>
      <c r="AG32" s="17"/>
    </row>
    <row r="33" spans="1:33" ht="17.5" customHeight="1">
      <c r="A33" s="22">
        <f t="shared" si="6"/>
        <v>1855</v>
      </c>
      <c r="B33" s="17">
        <v>1551.7</v>
      </c>
      <c r="C33" s="17"/>
      <c r="D33" s="17">
        <v>555.20000000000005</v>
      </c>
      <c r="E33" s="17"/>
      <c r="F33" s="17">
        <v>177</v>
      </c>
      <c r="G33" s="17"/>
      <c r="H33" s="17">
        <f t="shared" si="0"/>
        <v>2283.9</v>
      </c>
      <c r="I33" s="17"/>
      <c r="J33" s="25">
        <v>790</v>
      </c>
      <c r="K33" s="25"/>
      <c r="L33" s="17">
        <f t="shared" si="1"/>
        <v>3073.9</v>
      </c>
      <c r="M33" s="17"/>
      <c r="N33" s="16"/>
      <c r="O33" s="17">
        <v>143.1</v>
      </c>
      <c r="P33" s="17"/>
      <c r="Q33" s="17">
        <v>61.4</v>
      </c>
      <c r="R33" s="17"/>
      <c r="S33" s="17">
        <v>5.0999999999999996</v>
      </c>
      <c r="T33" s="17"/>
      <c r="U33" s="17">
        <v>375.4</v>
      </c>
      <c r="V33" s="17"/>
      <c r="W33" s="17">
        <f t="shared" si="2"/>
        <v>441.9</v>
      </c>
      <c r="X33" s="17">
        <f t="shared" si="3"/>
        <v>585</v>
      </c>
      <c r="Y33" s="17"/>
      <c r="Z33" s="17">
        <v>-10</v>
      </c>
      <c r="AA33" s="17"/>
      <c r="AB33" s="17">
        <f t="shared" si="4"/>
        <v>575</v>
      </c>
      <c r="AC33" s="17"/>
      <c r="AD33" s="17">
        <f t="shared" si="5"/>
        <v>3648.9</v>
      </c>
      <c r="AE33" s="6"/>
      <c r="AF33" s="6"/>
      <c r="AG33" s="17"/>
    </row>
    <row r="34" spans="1:33" ht="17.5" customHeight="1">
      <c r="A34" s="22">
        <f t="shared" si="6"/>
        <v>1856</v>
      </c>
      <c r="B34" s="17">
        <v>1496.1</v>
      </c>
      <c r="C34" s="17"/>
      <c r="D34" s="17">
        <v>565.5</v>
      </c>
      <c r="E34" s="17"/>
      <c r="F34" s="17">
        <v>187</v>
      </c>
      <c r="G34" s="17"/>
      <c r="H34" s="17">
        <f t="shared" si="0"/>
        <v>2248.6</v>
      </c>
      <c r="I34" s="17"/>
      <c r="J34" s="25">
        <v>828</v>
      </c>
      <c r="K34" s="25"/>
      <c r="L34" s="17">
        <f t="shared" si="1"/>
        <v>3076.6</v>
      </c>
      <c r="M34" s="17"/>
      <c r="N34" s="16"/>
      <c r="O34" s="17">
        <v>154.69999999999999</v>
      </c>
      <c r="P34" s="17"/>
      <c r="Q34" s="17">
        <v>62.3</v>
      </c>
      <c r="R34" s="17"/>
      <c r="S34" s="17">
        <v>4.0999999999999996</v>
      </c>
      <c r="T34" s="17"/>
      <c r="U34" s="17">
        <v>414</v>
      </c>
      <c r="V34" s="17"/>
      <c r="W34" s="17">
        <f t="shared" si="2"/>
        <v>480.4</v>
      </c>
      <c r="X34" s="17">
        <f t="shared" si="3"/>
        <v>635.09999999999991</v>
      </c>
      <c r="Y34" s="17"/>
      <c r="Z34" s="17">
        <v>-14.8</v>
      </c>
      <c r="AA34" s="17"/>
      <c r="AB34" s="17">
        <f t="shared" si="4"/>
        <v>620.29999999999995</v>
      </c>
      <c r="AC34" s="17"/>
      <c r="AD34" s="17">
        <f t="shared" si="5"/>
        <v>3696.8999999999996</v>
      </c>
      <c r="AE34" s="6"/>
      <c r="AF34" s="6"/>
      <c r="AG34" s="17"/>
    </row>
    <row r="35" spans="1:33" ht="17.5" customHeight="1">
      <c r="A35" s="22">
        <f t="shared" si="6"/>
        <v>1857</v>
      </c>
      <c r="B35" s="17">
        <v>1617.1</v>
      </c>
      <c r="C35" s="17"/>
      <c r="D35" s="17">
        <v>433.3</v>
      </c>
      <c r="E35" s="17"/>
      <c r="F35" s="17">
        <v>184.2</v>
      </c>
      <c r="G35" s="17"/>
      <c r="H35" s="17">
        <f t="shared" si="0"/>
        <v>2234.6</v>
      </c>
      <c r="I35" s="17"/>
      <c r="J35" s="25">
        <v>863</v>
      </c>
      <c r="K35" s="25"/>
      <c r="L35" s="17">
        <f t="shared" si="1"/>
        <v>3097.6</v>
      </c>
      <c r="M35" s="17"/>
      <c r="N35" s="16"/>
      <c r="O35" s="17">
        <v>138.30000000000001</v>
      </c>
      <c r="P35" s="17"/>
      <c r="Q35" s="17">
        <v>62.7</v>
      </c>
      <c r="R35" s="17"/>
      <c r="S35" s="17">
        <v>3.4</v>
      </c>
      <c r="T35" s="17"/>
      <c r="U35" s="17">
        <v>394.5</v>
      </c>
      <c r="V35" s="17"/>
      <c r="W35" s="17">
        <f t="shared" si="2"/>
        <v>460.6</v>
      </c>
      <c r="X35" s="17">
        <f t="shared" si="3"/>
        <v>598.90000000000009</v>
      </c>
      <c r="Y35" s="17"/>
      <c r="Z35" s="17">
        <v>21.5</v>
      </c>
      <c r="AA35" s="17"/>
      <c r="AB35" s="17">
        <f t="shared" si="4"/>
        <v>620.40000000000009</v>
      </c>
      <c r="AC35" s="17"/>
      <c r="AD35" s="17">
        <f t="shared" si="5"/>
        <v>3718</v>
      </c>
      <c r="AE35" s="6"/>
      <c r="AF35" s="6"/>
      <c r="AG35" s="17"/>
    </row>
    <row r="36" spans="1:33" ht="17.5" customHeight="1">
      <c r="A36" s="22">
        <f t="shared" si="6"/>
        <v>1858</v>
      </c>
      <c r="B36" s="17">
        <v>1824.5</v>
      </c>
      <c r="C36" s="17"/>
      <c r="D36" s="17">
        <v>567.4</v>
      </c>
      <c r="E36" s="17"/>
      <c r="F36" s="17">
        <v>197.5</v>
      </c>
      <c r="G36" s="17"/>
      <c r="H36" s="17">
        <f t="shared" si="0"/>
        <v>2589.4</v>
      </c>
      <c r="I36" s="17"/>
      <c r="J36" s="25">
        <v>892</v>
      </c>
      <c r="K36" s="25"/>
      <c r="L36" s="17">
        <f t="shared" si="1"/>
        <v>3481.4</v>
      </c>
      <c r="M36" s="17"/>
      <c r="N36" s="16"/>
      <c r="O36" s="17">
        <v>124.1</v>
      </c>
      <c r="P36" s="17"/>
      <c r="Q36" s="17">
        <v>54.4</v>
      </c>
      <c r="R36" s="17"/>
      <c r="S36" s="17">
        <v>2.5</v>
      </c>
      <c r="T36" s="17"/>
      <c r="U36" s="17">
        <v>346.1</v>
      </c>
      <c r="V36" s="17"/>
      <c r="W36" s="17">
        <f t="shared" si="2"/>
        <v>403</v>
      </c>
      <c r="X36" s="17">
        <f t="shared" si="3"/>
        <v>527.1</v>
      </c>
      <c r="Y36" s="17"/>
      <c r="Z36" s="17">
        <v>-25.7</v>
      </c>
      <c r="AA36" s="17"/>
      <c r="AB36" s="17">
        <f t="shared" si="4"/>
        <v>501.40000000000003</v>
      </c>
      <c r="AC36" s="17"/>
      <c r="AD36" s="17">
        <f t="shared" si="5"/>
        <v>3982.8</v>
      </c>
      <c r="AE36" s="6"/>
      <c r="AF36" s="6"/>
      <c r="AG36" s="17"/>
    </row>
    <row r="37" spans="1:33" ht="17.5" customHeight="1">
      <c r="A37" s="22">
        <f t="shared" si="6"/>
        <v>1859</v>
      </c>
      <c r="B37" s="17">
        <v>1825.9</v>
      </c>
      <c r="C37" s="17"/>
      <c r="D37" s="17">
        <v>622.5</v>
      </c>
      <c r="E37" s="17"/>
      <c r="F37" s="17">
        <v>200.4</v>
      </c>
      <c r="G37" s="17"/>
      <c r="H37" s="17">
        <f t="shared" si="0"/>
        <v>2648.8</v>
      </c>
      <c r="I37" s="17"/>
      <c r="J37" s="25">
        <v>919</v>
      </c>
      <c r="K37" s="25"/>
      <c r="L37" s="17">
        <f t="shared" si="1"/>
        <v>3567.8</v>
      </c>
      <c r="M37" s="17"/>
      <c r="N37" s="16"/>
      <c r="O37" s="17">
        <v>133.1</v>
      </c>
      <c r="P37" s="17"/>
      <c r="Q37" s="17">
        <v>44.3</v>
      </c>
      <c r="R37" s="17"/>
      <c r="S37" s="17">
        <v>1.6</v>
      </c>
      <c r="T37" s="17"/>
      <c r="U37" s="17">
        <v>345.9</v>
      </c>
      <c r="V37" s="17"/>
      <c r="W37" s="17">
        <f t="shared" si="2"/>
        <v>391.79999999999995</v>
      </c>
      <c r="X37" s="17">
        <f t="shared" si="3"/>
        <v>524.9</v>
      </c>
      <c r="Y37" s="17"/>
      <c r="Z37" s="17">
        <v>7.2</v>
      </c>
      <c r="AA37" s="17"/>
      <c r="AB37" s="17">
        <f t="shared" si="4"/>
        <v>532.1</v>
      </c>
      <c r="AC37" s="17"/>
      <c r="AD37" s="17">
        <f t="shared" si="5"/>
        <v>4099.9000000000005</v>
      </c>
      <c r="AE37" s="6"/>
      <c r="AF37" s="6"/>
      <c r="AG37" s="17"/>
    </row>
    <row r="38" spans="1:33" ht="17.5" customHeight="1">
      <c r="A38" s="6"/>
      <c r="B38" s="17"/>
      <c r="C38" s="17"/>
      <c r="D38" s="17"/>
      <c r="E38" s="17"/>
      <c r="F38" s="17"/>
      <c r="G38" s="17"/>
      <c r="H38" s="17"/>
      <c r="I38" s="17"/>
      <c r="J38" s="17"/>
      <c r="K38" s="17"/>
      <c r="L38" s="17"/>
      <c r="M38" s="17"/>
      <c r="N38" s="16"/>
      <c r="O38" s="17"/>
      <c r="P38" s="17"/>
      <c r="Q38" s="17"/>
      <c r="R38" s="17"/>
      <c r="S38" s="17"/>
      <c r="T38" s="17"/>
      <c r="U38" s="17"/>
      <c r="V38" s="17"/>
      <c r="W38" s="17"/>
      <c r="X38" s="17"/>
      <c r="Y38" s="17"/>
      <c r="Z38" s="17"/>
      <c r="AA38" s="17"/>
      <c r="AB38" s="17"/>
      <c r="AC38" s="17"/>
      <c r="AD38" s="17"/>
      <c r="AE38" s="6"/>
      <c r="AF38" s="6"/>
      <c r="AG38" s="17"/>
    </row>
    <row r="39" spans="1:33" ht="17.5" customHeight="1">
      <c r="A39" s="22">
        <v>1869</v>
      </c>
      <c r="B39" s="25">
        <v>2166</v>
      </c>
      <c r="C39" s="25"/>
      <c r="D39" s="25">
        <v>669</v>
      </c>
      <c r="E39" s="25"/>
      <c r="F39" s="25">
        <v>349</v>
      </c>
      <c r="G39" s="25"/>
      <c r="H39" s="25">
        <f t="shared" ref="H39:H79" si="7">B39+D39+F39</f>
        <v>3184</v>
      </c>
      <c r="I39" s="25"/>
      <c r="J39" s="25">
        <v>1009</v>
      </c>
      <c r="K39" s="25"/>
      <c r="L39" s="25">
        <f t="shared" ref="L39:L79" si="8">H39+J39</f>
        <v>4193</v>
      </c>
      <c r="M39" s="25"/>
      <c r="N39" s="78"/>
      <c r="O39" s="25">
        <v>360</v>
      </c>
      <c r="P39" s="25"/>
      <c r="Q39" s="25">
        <v>158</v>
      </c>
      <c r="R39" s="25"/>
      <c r="S39" s="17"/>
      <c r="T39" s="17"/>
      <c r="U39" s="17">
        <v>772</v>
      </c>
      <c r="V39" s="17"/>
      <c r="W39" s="17">
        <f t="shared" ref="W39:W79" si="9">Q39+S39+U39</f>
        <v>930</v>
      </c>
      <c r="X39" s="17">
        <f t="shared" ref="X39:X79" si="10">O39+W39</f>
        <v>1290</v>
      </c>
      <c r="Y39" s="17"/>
      <c r="Z39" s="25">
        <v>-136</v>
      </c>
      <c r="AA39" s="25"/>
      <c r="AB39" s="17">
        <f t="shared" ref="AB39:AB79" si="11">X39+Z39</f>
        <v>1154</v>
      </c>
      <c r="AC39" s="17"/>
      <c r="AD39" s="17">
        <f t="shared" ref="AD39:AD79" si="12">L39+AB39</f>
        <v>5347</v>
      </c>
      <c r="AE39" s="6"/>
      <c r="AF39" s="6"/>
      <c r="AG39" s="17"/>
    </row>
    <row r="40" spans="1:33" ht="17.5" customHeight="1">
      <c r="A40" s="22">
        <f t="shared" ref="A40:A79" si="13">A39+1</f>
        <v>1870</v>
      </c>
      <c r="B40" s="25">
        <v>2103</v>
      </c>
      <c r="C40" s="25"/>
      <c r="D40" s="25">
        <v>734</v>
      </c>
      <c r="E40" s="25"/>
      <c r="F40" s="25">
        <v>330</v>
      </c>
      <c r="G40" s="25"/>
      <c r="H40" s="25">
        <f t="shared" si="7"/>
        <v>3167</v>
      </c>
      <c r="I40" s="25"/>
      <c r="J40" s="25">
        <v>958</v>
      </c>
      <c r="K40" s="25"/>
      <c r="L40" s="25">
        <f t="shared" si="8"/>
        <v>4125</v>
      </c>
      <c r="M40" s="25"/>
      <c r="N40" s="78"/>
      <c r="O40" s="25">
        <v>375</v>
      </c>
      <c r="P40" s="25"/>
      <c r="Q40" s="25">
        <v>233</v>
      </c>
      <c r="R40" s="25"/>
      <c r="S40" s="17"/>
      <c r="T40" s="17"/>
      <c r="U40" s="17">
        <v>734</v>
      </c>
      <c r="V40" s="17"/>
      <c r="W40" s="17">
        <f t="shared" si="9"/>
        <v>967</v>
      </c>
      <c r="X40" s="17">
        <f t="shared" si="10"/>
        <v>1342</v>
      </c>
      <c r="Y40" s="17"/>
      <c r="Z40" s="25">
        <v>-112</v>
      </c>
      <c r="AA40" s="25"/>
      <c r="AB40" s="17">
        <f t="shared" si="11"/>
        <v>1230</v>
      </c>
      <c r="AC40" s="17"/>
      <c r="AD40" s="17">
        <f t="shared" si="12"/>
        <v>5355</v>
      </c>
      <c r="AE40" s="6"/>
      <c r="AF40" s="6"/>
      <c r="AG40" s="17"/>
    </row>
    <row r="41" spans="1:33" ht="17.5" customHeight="1">
      <c r="A41" s="22">
        <f t="shared" si="13"/>
        <v>1871</v>
      </c>
      <c r="B41" s="25">
        <v>2095</v>
      </c>
      <c r="C41" s="25"/>
      <c r="D41" s="25">
        <v>831</v>
      </c>
      <c r="E41" s="25"/>
      <c r="F41" s="25">
        <v>325</v>
      </c>
      <c r="G41" s="25"/>
      <c r="H41" s="25">
        <f t="shared" si="7"/>
        <v>3251</v>
      </c>
      <c r="I41" s="25"/>
      <c r="J41" s="25">
        <v>975</v>
      </c>
      <c r="K41" s="25"/>
      <c r="L41" s="25">
        <f t="shared" si="8"/>
        <v>4226</v>
      </c>
      <c r="M41" s="25"/>
      <c r="N41" s="78"/>
      <c r="O41" s="25">
        <v>375</v>
      </c>
      <c r="P41" s="25"/>
      <c r="Q41" s="25">
        <v>196</v>
      </c>
      <c r="R41" s="25"/>
      <c r="S41" s="17"/>
      <c r="T41" s="17"/>
      <c r="U41" s="17">
        <v>663.3</v>
      </c>
      <c r="V41" s="17"/>
      <c r="W41" s="17">
        <f t="shared" si="9"/>
        <v>859.3</v>
      </c>
      <c r="X41" s="17">
        <f t="shared" si="10"/>
        <v>1234.3</v>
      </c>
      <c r="Y41" s="17"/>
      <c r="Z41" s="25">
        <v>-143</v>
      </c>
      <c r="AA41" s="25"/>
      <c r="AB41" s="17">
        <f t="shared" si="11"/>
        <v>1091.3</v>
      </c>
      <c r="AC41" s="17"/>
      <c r="AD41" s="17">
        <f t="shared" si="12"/>
        <v>5317.3</v>
      </c>
      <c r="AE41" s="6"/>
      <c r="AF41" s="25">
        <v>113</v>
      </c>
      <c r="AG41" s="17">
        <f t="shared" ref="AG41:AG79" si="14">AD41+AF41</f>
        <v>5430.3</v>
      </c>
    </row>
    <row r="42" spans="1:33" ht="17.5" customHeight="1">
      <c r="A42" s="22">
        <f t="shared" si="13"/>
        <v>1872</v>
      </c>
      <c r="B42" s="25">
        <v>2449</v>
      </c>
      <c r="C42" s="25"/>
      <c r="D42" s="25">
        <v>876</v>
      </c>
      <c r="E42" s="25"/>
      <c r="F42" s="25">
        <v>425</v>
      </c>
      <c r="G42" s="25"/>
      <c r="H42" s="25">
        <f t="shared" si="7"/>
        <v>3750</v>
      </c>
      <c r="I42" s="25"/>
      <c r="J42" s="25">
        <v>1059</v>
      </c>
      <c r="K42" s="25"/>
      <c r="L42" s="25">
        <f t="shared" si="8"/>
        <v>4809</v>
      </c>
      <c r="M42" s="25"/>
      <c r="N42" s="78"/>
      <c r="O42" s="25">
        <v>537</v>
      </c>
      <c r="P42" s="25"/>
      <c r="Q42" s="25">
        <v>189</v>
      </c>
      <c r="R42" s="25"/>
      <c r="S42" s="17"/>
      <c r="T42" s="17"/>
      <c r="U42" s="17">
        <v>957.1</v>
      </c>
      <c r="V42" s="17"/>
      <c r="W42" s="17">
        <f t="shared" si="9"/>
        <v>1146.0999999999999</v>
      </c>
      <c r="X42" s="17">
        <f t="shared" si="10"/>
        <v>1683.1</v>
      </c>
      <c r="Y42" s="17"/>
      <c r="Z42" s="25">
        <v>-194</v>
      </c>
      <c r="AA42" s="25"/>
      <c r="AB42" s="17">
        <f t="shared" si="11"/>
        <v>1489.1</v>
      </c>
      <c r="AC42" s="17"/>
      <c r="AD42" s="17">
        <f t="shared" si="12"/>
        <v>6298.1</v>
      </c>
      <c r="AE42" s="6"/>
      <c r="AF42" s="25">
        <v>392</v>
      </c>
      <c r="AG42" s="17">
        <f t="shared" si="14"/>
        <v>6690.1</v>
      </c>
    </row>
    <row r="43" spans="1:33" ht="17.5" customHeight="1">
      <c r="A43" s="22">
        <f t="shared" si="13"/>
        <v>1873</v>
      </c>
      <c r="B43" s="25">
        <v>2577</v>
      </c>
      <c r="C43" s="25"/>
      <c r="D43" s="25">
        <v>810</v>
      </c>
      <c r="E43" s="25"/>
      <c r="F43" s="25">
        <v>442</v>
      </c>
      <c r="G43" s="25"/>
      <c r="H43" s="25">
        <f t="shared" si="7"/>
        <v>3829</v>
      </c>
      <c r="I43" s="25"/>
      <c r="J43" s="25">
        <v>1112</v>
      </c>
      <c r="K43" s="25"/>
      <c r="L43" s="25">
        <f t="shared" si="8"/>
        <v>4941</v>
      </c>
      <c r="M43" s="25"/>
      <c r="N43" s="78"/>
      <c r="O43" s="25">
        <v>564</v>
      </c>
      <c r="P43" s="25"/>
      <c r="Q43" s="25">
        <v>125</v>
      </c>
      <c r="R43" s="25"/>
      <c r="S43" s="17"/>
      <c r="T43" s="17"/>
      <c r="U43" s="17">
        <v>915.1</v>
      </c>
      <c r="V43" s="17"/>
      <c r="W43" s="17">
        <f t="shared" si="9"/>
        <v>1040.0999999999999</v>
      </c>
      <c r="X43" s="17">
        <f t="shared" si="10"/>
        <v>1604.1</v>
      </c>
      <c r="Y43" s="17"/>
      <c r="Z43" s="25">
        <v>-84</v>
      </c>
      <c r="AA43" s="25"/>
      <c r="AB43" s="17">
        <f t="shared" si="11"/>
        <v>1520.1</v>
      </c>
      <c r="AC43" s="17"/>
      <c r="AD43" s="17">
        <f t="shared" si="12"/>
        <v>6461.1</v>
      </c>
      <c r="AE43" s="6"/>
      <c r="AF43" s="25">
        <v>169</v>
      </c>
      <c r="AG43" s="17">
        <f t="shared" si="14"/>
        <v>6630.1</v>
      </c>
    </row>
    <row r="44" spans="1:33" ht="17.5" customHeight="1">
      <c r="A44" s="22">
        <f t="shared" si="13"/>
        <v>1874</v>
      </c>
      <c r="B44" s="25">
        <v>2697</v>
      </c>
      <c r="C44" s="25"/>
      <c r="D44" s="25">
        <v>806</v>
      </c>
      <c r="E44" s="25"/>
      <c r="F44" s="25">
        <v>389</v>
      </c>
      <c r="G44" s="25"/>
      <c r="H44" s="25">
        <f t="shared" si="7"/>
        <v>3892</v>
      </c>
      <c r="I44" s="25"/>
      <c r="J44" s="25">
        <v>1195</v>
      </c>
      <c r="K44" s="25"/>
      <c r="L44" s="25">
        <f t="shared" si="8"/>
        <v>5087</v>
      </c>
      <c r="M44" s="25"/>
      <c r="N44" s="78"/>
      <c r="O44" s="25">
        <v>431</v>
      </c>
      <c r="P44" s="25"/>
      <c r="Q44" s="25">
        <v>47</v>
      </c>
      <c r="R44" s="25"/>
      <c r="S44" s="17"/>
      <c r="T44" s="17"/>
      <c r="U44" s="17">
        <v>838.3</v>
      </c>
      <c r="V44" s="17"/>
      <c r="W44" s="17">
        <f t="shared" si="9"/>
        <v>885.3</v>
      </c>
      <c r="X44" s="17">
        <f t="shared" si="10"/>
        <v>1316.3</v>
      </c>
      <c r="Y44" s="17"/>
      <c r="Z44" s="25">
        <v>-84</v>
      </c>
      <c r="AA44" s="25"/>
      <c r="AB44" s="17">
        <f t="shared" si="11"/>
        <v>1232.3</v>
      </c>
      <c r="AC44" s="17"/>
      <c r="AD44" s="17">
        <f t="shared" si="12"/>
        <v>6319.3</v>
      </c>
      <c r="AE44" s="6"/>
      <c r="AF44" s="25">
        <v>-20</v>
      </c>
      <c r="AG44" s="17">
        <f t="shared" si="14"/>
        <v>6299.3</v>
      </c>
    </row>
    <row r="45" spans="1:33" ht="17.5" customHeight="1">
      <c r="A45" s="22">
        <f t="shared" si="13"/>
        <v>1875</v>
      </c>
      <c r="B45" s="25">
        <v>2595</v>
      </c>
      <c r="C45" s="25"/>
      <c r="D45" s="25">
        <v>894</v>
      </c>
      <c r="E45" s="25"/>
      <c r="F45" s="25">
        <v>450</v>
      </c>
      <c r="G45" s="25"/>
      <c r="H45" s="25">
        <f t="shared" si="7"/>
        <v>3939</v>
      </c>
      <c r="I45" s="25"/>
      <c r="J45" s="25">
        <v>1254</v>
      </c>
      <c r="K45" s="25"/>
      <c r="L45" s="25">
        <f t="shared" si="8"/>
        <v>5193</v>
      </c>
      <c r="M45" s="25"/>
      <c r="N45" s="78"/>
      <c r="O45" s="25">
        <v>384</v>
      </c>
      <c r="P45" s="25"/>
      <c r="Q45" s="25">
        <v>282</v>
      </c>
      <c r="R45" s="25"/>
      <c r="S45" s="17"/>
      <c r="T45" s="17"/>
      <c r="U45" s="17">
        <v>855.2</v>
      </c>
      <c r="V45" s="17"/>
      <c r="W45" s="17">
        <f t="shared" si="9"/>
        <v>1137.2</v>
      </c>
      <c r="X45" s="17">
        <f t="shared" si="10"/>
        <v>1521.2</v>
      </c>
      <c r="Y45" s="17"/>
      <c r="Z45" s="25">
        <v>-88</v>
      </c>
      <c r="AA45" s="25"/>
      <c r="AB45" s="17">
        <f t="shared" si="11"/>
        <v>1433.2</v>
      </c>
      <c r="AC45" s="17"/>
      <c r="AD45" s="17">
        <f t="shared" si="12"/>
        <v>6626.2</v>
      </c>
      <c r="AE45" s="6"/>
      <c r="AF45" s="25">
        <v>71</v>
      </c>
      <c r="AG45" s="17">
        <f t="shared" si="14"/>
        <v>6697.2</v>
      </c>
    </row>
    <row r="46" spans="1:33" ht="17.5" customHeight="1">
      <c r="A46" s="22">
        <f t="shared" si="13"/>
        <v>1876</v>
      </c>
      <c r="B46" s="25">
        <v>2772</v>
      </c>
      <c r="C46" s="25"/>
      <c r="D46" s="25">
        <v>921</v>
      </c>
      <c r="E46" s="25"/>
      <c r="F46" s="25">
        <v>447</v>
      </c>
      <c r="G46" s="25"/>
      <c r="H46" s="25">
        <f t="shared" si="7"/>
        <v>4140</v>
      </c>
      <c r="I46" s="25"/>
      <c r="J46" s="25">
        <v>1373</v>
      </c>
      <c r="K46" s="25"/>
      <c r="L46" s="25">
        <f t="shared" si="8"/>
        <v>5513</v>
      </c>
      <c r="M46" s="25"/>
      <c r="N46" s="78"/>
      <c r="O46" s="25">
        <v>427</v>
      </c>
      <c r="P46" s="25"/>
      <c r="Q46" s="25">
        <v>292</v>
      </c>
      <c r="R46" s="25"/>
      <c r="S46" s="17"/>
      <c r="T46" s="17"/>
      <c r="U46" s="17">
        <v>809</v>
      </c>
      <c r="V46" s="17"/>
      <c r="W46" s="17">
        <f t="shared" si="9"/>
        <v>1101</v>
      </c>
      <c r="X46" s="17">
        <f t="shared" si="10"/>
        <v>1528</v>
      </c>
      <c r="Y46" s="17"/>
      <c r="Z46" s="25">
        <v>17</v>
      </c>
      <c r="AA46" s="25"/>
      <c r="AB46" s="17">
        <f t="shared" si="11"/>
        <v>1545</v>
      </c>
      <c r="AC46" s="17"/>
      <c r="AD46" s="17">
        <f t="shared" si="12"/>
        <v>7058</v>
      </c>
      <c r="AE46" s="6"/>
      <c r="AF46" s="25">
        <v>132</v>
      </c>
      <c r="AG46" s="17">
        <f t="shared" si="14"/>
        <v>7190</v>
      </c>
    </row>
    <row r="47" spans="1:33" ht="17.5" customHeight="1">
      <c r="A47" s="22">
        <f t="shared" si="13"/>
        <v>1877</v>
      </c>
      <c r="B47" s="25">
        <v>2991</v>
      </c>
      <c r="C47" s="25"/>
      <c r="D47" s="25">
        <v>1020</v>
      </c>
      <c r="E47" s="25"/>
      <c r="F47" s="25">
        <v>486</v>
      </c>
      <c r="G47" s="25"/>
      <c r="H47" s="25">
        <f t="shared" si="7"/>
        <v>4497</v>
      </c>
      <c r="I47" s="25"/>
      <c r="J47" s="25">
        <v>1449</v>
      </c>
      <c r="K47" s="25"/>
      <c r="L47" s="25">
        <f t="shared" si="8"/>
        <v>5946</v>
      </c>
      <c r="M47" s="25"/>
      <c r="N47" s="78"/>
      <c r="O47" s="25">
        <v>441</v>
      </c>
      <c r="P47" s="25"/>
      <c r="Q47" s="25">
        <v>338</v>
      </c>
      <c r="R47" s="25"/>
      <c r="S47" s="17"/>
      <c r="T47" s="17"/>
      <c r="U47" s="17">
        <v>783.1</v>
      </c>
      <c r="V47" s="17"/>
      <c r="W47" s="17">
        <f t="shared" si="9"/>
        <v>1121.0999999999999</v>
      </c>
      <c r="X47" s="17">
        <f t="shared" si="10"/>
        <v>1562.1</v>
      </c>
      <c r="Y47" s="17"/>
      <c r="Z47" s="25">
        <v>3</v>
      </c>
      <c r="AA47" s="25"/>
      <c r="AB47" s="17">
        <f t="shared" si="11"/>
        <v>1565.1</v>
      </c>
      <c r="AC47" s="17"/>
      <c r="AD47" s="17">
        <f t="shared" si="12"/>
        <v>7511.1</v>
      </c>
      <c r="AE47" s="6"/>
      <c r="AF47" s="25">
        <v>304</v>
      </c>
      <c r="AG47" s="17">
        <f t="shared" si="14"/>
        <v>7815.1</v>
      </c>
    </row>
    <row r="48" spans="1:33" ht="17.5" customHeight="1">
      <c r="A48" s="22">
        <f t="shared" si="13"/>
        <v>1878</v>
      </c>
      <c r="B48" s="25">
        <v>3187</v>
      </c>
      <c r="C48" s="25"/>
      <c r="D48" s="25">
        <v>1023</v>
      </c>
      <c r="E48" s="25"/>
      <c r="F48" s="25">
        <v>474</v>
      </c>
      <c r="G48" s="25"/>
      <c r="H48" s="25">
        <f t="shared" si="7"/>
        <v>4684</v>
      </c>
      <c r="I48" s="25"/>
      <c r="J48" s="25">
        <v>1481</v>
      </c>
      <c r="K48" s="25"/>
      <c r="L48" s="25">
        <f t="shared" si="8"/>
        <v>6165</v>
      </c>
      <c r="M48" s="25"/>
      <c r="N48" s="78"/>
      <c r="O48" s="25">
        <v>517</v>
      </c>
      <c r="P48" s="25"/>
      <c r="Q48" s="25">
        <v>75</v>
      </c>
      <c r="R48" s="25"/>
      <c r="S48" s="17"/>
      <c r="T48" s="17"/>
      <c r="U48" s="17">
        <v>765</v>
      </c>
      <c r="V48" s="17"/>
      <c r="W48" s="17">
        <f t="shared" si="9"/>
        <v>840</v>
      </c>
      <c r="X48" s="17">
        <f t="shared" si="10"/>
        <v>1357</v>
      </c>
      <c r="Y48" s="17"/>
      <c r="Z48" s="25">
        <v>123</v>
      </c>
      <c r="AA48" s="25"/>
      <c r="AB48" s="17">
        <f t="shared" si="11"/>
        <v>1480</v>
      </c>
      <c r="AC48" s="17"/>
      <c r="AD48" s="17">
        <f t="shared" si="12"/>
        <v>7645</v>
      </c>
      <c r="AE48" s="6"/>
      <c r="AF48" s="25">
        <v>250</v>
      </c>
      <c r="AG48" s="17">
        <f t="shared" si="14"/>
        <v>7895</v>
      </c>
    </row>
    <row r="49" spans="1:33" ht="17.5" customHeight="1">
      <c r="A49" s="22">
        <f t="shared" si="13"/>
        <v>1879</v>
      </c>
      <c r="B49" s="25">
        <v>3456</v>
      </c>
      <c r="C49" s="25"/>
      <c r="D49" s="25">
        <v>1170</v>
      </c>
      <c r="E49" s="25"/>
      <c r="F49" s="25">
        <v>550</v>
      </c>
      <c r="G49" s="25"/>
      <c r="H49" s="25">
        <f t="shared" si="7"/>
        <v>5176</v>
      </c>
      <c r="I49" s="25"/>
      <c r="J49" s="25">
        <v>1638</v>
      </c>
      <c r="K49" s="25"/>
      <c r="L49" s="25">
        <f t="shared" si="8"/>
        <v>6814</v>
      </c>
      <c r="M49" s="25"/>
      <c r="N49" s="78"/>
      <c r="O49" s="25">
        <v>583</v>
      </c>
      <c r="P49" s="25"/>
      <c r="Q49" s="25">
        <v>69</v>
      </c>
      <c r="R49" s="25"/>
      <c r="S49" s="17"/>
      <c r="T49" s="17"/>
      <c r="U49" s="17">
        <v>785.1</v>
      </c>
      <c r="V49" s="17"/>
      <c r="W49" s="17">
        <f t="shared" si="9"/>
        <v>854.1</v>
      </c>
      <c r="X49" s="17">
        <f t="shared" si="10"/>
        <v>1437.1</v>
      </c>
      <c r="Y49" s="17"/>
      <c r="Z49" s="25">
        <v>85</v>
      </c>
      <c r="AA49" s="25"/>
      <c r="AB49" s="17">
        <f t="shared" si="11"/>
        <v>1522.1</v>
      </c>
      <c r="AC49" s="17"/>
      <c r="AD49" s="17">
        <f t="shared" si="12"/>
        <v>8336.1</v>
      </c>
      <c r="AE49" s="6"/>
      <c r="AF49" s="25">
        <v>349</v>
      </c>
      <c r="AG49" s="17">
        <f t="shared" si="14"/>
        <v>8685.1</v>
      </c>
    </row>
    <row r="50" spans="1:33" ht="17.5" customHeight="1">
      <c r="A50" s="22">
        <f t="shared" si="13"/>
        <v>1880</v>
      </c>
      <c r="B50" s="25">
        <v>3958</v>
      </c>
      <c r="C50" s="25"/>
      <c r="D50" s="25">
        <v>1385</v>
      </c>
      <c r="E50" s="25"/>
      <c r="F50" s="25">
        <v>595</v>
      </c>
      <c r="G50" s="25"/>
      <c r="H50" s="25">
        <f t="shared" si="7"/>
        <v>5938</v>
      </c>
      <c r="I50" s="25"/>
      <c r="J50" s="25">
        <v>1791</v>
      </c>
      <c r="K50" s="25"/>
      <c r="L50" s="25">
        <f t="shared" si="8"/>
        <v>7729</v>
      </c>
      <c r="M50" s="25"/>
      <c r="N50" s="78"/>
      <c r="O50" s="25">
        <v>869</v>
      </c>
      <c r="P50" s="25"/>
      <c r="Q50" s="25">
        <v>149</v>
      </c>
      <c r="R50" s="25"/>
      <c r="S50" s="17"/>
      <c r="T50" s="17"/>
      <c r="U50" s="17">
        <v>807.9</v>
      </c>
      <c r="V50" s="17"/>
      <c r="W50" s="17">
        <f t="shared" si="9"/>
        <v>956.9</v>
      </c>
      <c r="X50" s="17">
        <f t="shared" si="10"/>
        <v>1825.9</v>
      </c>
      <c r="Y50" s="17"/>
      <c r="Z50" s="25">
        <v>39</v>
      </c>
      <c r="AA50" s="25"/>
      <c r="AB50" s="17">
        <f t="shared" si="11"/>
        <v>1864.9</v>
      </c>
      <c r="AC50" s="17"/>
      <c r="AD50" s="17">
        <f t="shared" si="12"/>
        <v>9593.9</v>
      </c>
      <c r="AE50" s="6"/>
      <c r="AF50" s="25">
        <v>631</v>
      </c>
      <c r="AG50" s="17">
        <f t="shared" si="14"/>
        <v>10224.9</v>
      </c>
    </row>
    <row r="51" spans="1:33" ht="17.5" customHeight="1">
      <c r="A51" s="22">
        <f t="shared" si="13"/>
        <v>1881</v>
      </c>
      <c r="B51" s="25">
        <v>3891</v>
      </c>
      <c r="C51" s="25"/>
      <c r="D51" s="25">
        <v>1304</v>
      </c>
      <c r="E51" s="25"/>
      <c r="F51" s="25">
        <v>673</v>
      </c>
      <c r="G51" s="25"/>
      <c r="H51" s="25">
        <f t="shared" si="7"/>
        <v>5868</v>
      </c>
      <c r="I51" s="25"/>
      <c r="J51" s="25">
        <v>1741</v>
      </c>
      <c r="K51" s="25"/>
      <c r="L51" s="25">
        <f t="shared" si="8"/>
        <v>7609</v>
      </c>
      <c r="M51" s="25"/>
      <c r="N51" s="78"/>
      <c r="O51" s="25">
        <v>1052</v>
      </c>
      <c r="P51" s="25"/>
      <c r="Q51" s="25">
        <v>230</v>
      </c>
      <c r="R51" s="25"/>
      <c r="S51" s="17"/>
      <c r="T51" s="17"/>
      <c r="U51" s="17">
        <v>1054.5999999999999</v>
      </c>
      <c r="V51" s="17"/>
      <c r="W51" s="17">
        <f t="shared" si="9"/>
        <v>1284.5999999999999</v>
      </c>
      <c r="X51" s="17">
        <f t="shared" si="10"/>
        <v>2336.6</v>
      </c>
      <c r="Y51" s="17"/>
      <c r="Z51" s="25">
        <v>21</v>
      </c>
      <c r="AA51" s="25"/>
      <c r="AB51" s="17">
        <f t="shared" si="11"/>
        <v>2357.6</v>
      </c>
      <c r="AC51" s="17"/>
      <c r="AD51" s="17">
        <f t="shared" si="12"/>
        <v>9966.6</v>
      </c>
      <c r="AE51" s="6"/>
      <c r="AF51" s="25">
        <v>38</v>
      </c>
      <c r="AG51" s="17">
        <f t="shared" si="14"/>
        <v>10004.6</v>
      </c>
    </row>
    <row r="52" spans="1:33" ht="17.5" customHeight="1">
      <c r="A52" s="22">
        <f t="shared" si="13"/>
        <v>1882</v>
      </c>
      <c r="B52" s="25">
        <v>4204</v>
      </c>
      <c r="C52" s="25"/>
      <c r="D52" s="25">
        <v>1429</v>
      </c>
      <c r="E52" s="25"/>
      <c r="F52" s="25">
        <v>737</v>
      </c>
      <c r="G52" s="25"/>
      <c r="H52" s="25">
        <f t="shared" si="7"/>
        <v>6370</v>
      </c>
      <c r="I52" s="25"/>
      <c r="J52" s="25">
        <v>1846</v>
      </c>
      <c r="K52" s="25"/>
      <c r="L52" s="25">
        <f t="shared" si="8"/>
        <v>8216</v>
      </c>
      <c r="M52" s="25"/>
      <c r="N52" s="78"/>
      <c r="O52" s="25">
        <v>1166</v>
      </c>
      <c r="P52" s="25"/>
      <c r="Q52" s="25">
        <v>184</v>
      </c>
      <c r="R52" s="25"/>
      <c r="S52" s="17"/>
      <c r="T52" s="17"/>
      <c r="U52" s="17">
        <v>1050.8</v>
      </c>
      <c r="V52" s="17"/>
      <c r="W52" s="17">
        <f t="shared" si="9"/>
        <v>1234.8</v>
      </c>
      <c r="X52" s="17">
        <f t="shared" si="10"/>
        <v>2400.8000000000002</v>
      </c>
      <c r="Y52" s="17"/>
      <c r="Z52" s="25">
        <v>-82</v>
      </c>
      <c r="AA52" s="25"/>
      <c r="AB52" s="17">
        <f t="shared" si="11"/>
        <v>2318.8000000000002</v>
      </c>
      <c r="AC52" s="17"/>
      <c r="AD52" s="17">
        <f t="shared" si="12"/>
        <v>10534.8</v>
      </c>
      <c r="AE52" s="6"/>
      <c r="AF52" s="25">
        <v>653</v>
      </c>
      <c r="AG52" s="17">
        <f t="shared" si="14"/>
        <v>11187.8</v>
      </c>
    </row>
    <row r="53" spans="1:33" ht="17.5" customHeight="1">
      <c r="A53" s="22">
        <f t="shared" si="13"/>
        <v>1883</v>
      </c>
      <c r="B53" s="25">
        <v>4240</v>
      </c>
      <c r="C53" s="25"/>
      <c r="D53" s="25">
        <v>1420</v>
      </c>
      <c r="E53" s="25"/>
      <c r="F53" s="25">
        <v>752</v>
      </c>
      <c r="G53" s="25"/>
      <c r="H53" s="25">
        <f t="shared" si="7"/>
        <v>6412</v>
      </c>
      <c r="I53" s="25"/>
      <c r="J53" s="25">
        <v>1832</v>
      </c>
      <c r="K53" s="25"/>
      <c r="L53" s="25">
        <f t="shared" si="8"/>
        <v>8244</v>
      </c>
      <c r="M53" s="25"/>
      <c r="N53" s="78"/>
      <c r="O53" s="25">
        <v>1108</v>
      </c>
      <c r="P53" s="25"/>
      <c r="Q53" s="25">
        <v>117</v>
      </c>
      <c r="R53" s="25"/>
      <c r="S53" s="17"/>
      <c r="T53" s="17"/>
      <c r="U53" s="17">
        <v>1130.0999999999999</v>
      </c>
      <c r="V53" s="17"/>
      <c r="W53" s="17">
        <f t="shared" si="9"/>
        <v>1247.0999999999999</v>
      </c>
      <c r="X53" s="17">
        <f t="shared" si="10"/>
        <v>2355.1</v>
      </c>
      <c r="Y53" s="17"/>
      <c r="Z53" s="25">
        <v>-25</v>
      </c>
      <c r="AA53" s="25"/>
      <c r="AB53" s="17">
        <f t="shared" si="11"/>
        <v>2330.1</v>
      </c>
      <c r="AC53" s="17"/>
      <c r="AD53" s="17">
        <f t="shared" si="12"/>
        <v>10574.1</v>
      </c>
      <c r="AE53" s="6"/>
      <c r="AF53" s="25">
        <v>172</v>
      </c>
      <c r="AG53" s="17">
        <f t="shared" si="14"/>
        <v>10746.1</v>
      </c>
    </row>
    <row r="54" spans="1:33" ht="17.5" customHeight="1">
      <c r="A54" s="22">
        <f t="shared" si="13"/>
        <v>1884</v>
      </c>
      <c r="B54" s="25">
        <v>4497</v>
      </c>
      <c r="C54" s="25"/>
      <c r="D54" s="25">
        <v>1368</v>
      </c>
      <c r="E54" s="25"/>
      <c r="F54" s="25">
        <v>758</v>
      </c>
      <c r="G54" s="25"/>
      <c r="H54" s="25">
        <f t="shared" si="7"/>
        <v>6623</v>
      </c>
      <c r="I54" s="25"/>
      <c r="J54" s="25">
        <v>1851</v>
      </c>
      <c r="K54" s="25"/>
      <c r="L54" s="25">
        <f t="shared" si="8"/>
        <v>8474</v>
      </c>
      <c r="M54" s="25"/>
      <c r="N54" s="78"/>
      <c r="O54" s="25">
        <v>889</v>
      </c>
      <c r="P54" s="25"/>
      <c r="Q54" s="25">
        <v>97</v>
      </c>
      <c r="R54" s="25"/>
      <c r="S54" s="17"/>
      <c r="T54" s="17"/>
      <c r="U54" s="17">
        <v>1289</v>
      </c>
      <c r="V54" s="17"/>
      <c r="W54" s="17">
        <f t="shared" si="9"/>
        <v>1386</v>
      </c>
      <c r="X54" s="17">
        <f t="shared" si="10"/>
        <v>2275</v>
      </c>
      <c r="Y54" s="17"/>
      <c r="Z54" s="25">
        <v>-19</v>
      </c>
      <c r="AA54" s="25"/>
      <c r="AB54" s="17">
        <f t="shared" si="11"/>
        <v>2256</v>
      </c>
      <c r="AC54" s="17"/>
      <c r="AD54" s="17">
        <f t="shared" si="12"/>
        <v>10730</v>
      </c>
      <c r="AE54" s="6"/>
      <c r="AF54" s="25">
        <v>308</v>
      </c>
      <c r="AG54" s="17">
        <f t="shared" si="14"/>
        <v>11038</v>
      </c>
    </row>
    <row r="55" spans="1:33" ht="17.5" customHeight="1">
      <c r="A55" s="22">
        <f t="shared" si="13"/>
        <v>1885</v>
      </c>
      <c r="B55" s="25">
        <v>4470</v>
      </c>
      <c r="C55" s="25"/>
      <c r="D55" s="25">
        <v>1524</v>
      </c>
      <c r="E55" s="25"/>
      <c r="F55" s="25">
        <v>867</v>
      </c>
      <c r="G55" s="25"/>
      <c r="H55" s="25">
        <f t="shared" si="7"/>
        <v>6861</v>
      </c>
      <c r="I55" s="25"/>
      <c r="J55" s="25">
        <v>1866</v>
      </c>
      <c r="K55" s="25"/>
      <c r="L55" s="25">
        <f t="shared" si="8"/>
        <v>8727</v>
      </c>
      <c r="M55" s="25"/>
      <c r="N55" s="78"/>
      <c r="O55" s="25">
        <v>845</v>
      </c>
      <c r="P55" s="25"/>
      <c r="Q55" s="25">
        <v>75</v>
      </c>
      <c r="R55" s="25"/>
      <c r="S55" s="17"/>
      <c r="T55" s="17"/>
      <c r="U55" s="17">
        <v>1250.5</v>
      </c>
      <c r="V55" s="17"/>
      <c r="W55" s="17">
        <f t="shared" si="9"/>
        <v>1325.5</v>
      </c>
      <c r="X55" s="17">
        <f t="shared" si="10"/>
        <v>2170.5</v>
      </c>
      <c r="Y55" s="17"/>
      <c r="Z55" s="25">
        <v>-43</v>
      </c>
      <c r="AA55" s="25"/>
      <c r="AB55" s="17">
        <f t="shared" si="11"/>
        <v>2127.5</v>
      </c>
      <c r="AC55" s="17"/>
      <c r="AD55" s="17">
        <f t="shared" si="12"/>
        <v>10854.5</v>
      </c>
      <c r="AE55" s="6"/>
      <c r="AF55" s="25">
        <v>404</v>
      </c>
      <c r="AG55" s="17">
        <f t="shared" si="14"/>
        <v>11258.5</v>
      </c>
    </row>
    <row r="56" spans="1:33" ht="17.5" customHeight="1">
      <c r="A56" s="22">
        <f t="shared" si="13"/>
        <v>1886</v>
      </c>
      <c r="B56" s="25">
        <v>4421</v>
      </c>
      <c r="C56" s="25"/>
      <c r="D56" s="25">
        <v>1575</v>
      </c>
      <c r="E56" s="25"/>
      <c r="F56" s="25">
        <v>998</v>
      </c>
      <c r="G56" s="25"/>
      <c r="H56" s="25">
        <f t="shared" si="7"/>
        <v>6994</v>
      </c>
      <c r="I56" s="25"/>
      <c r="J56" s="25">
        <v>1857</v>
      </c>
      <c r="K56" s="25"/>
      <c r="L56" s="25">
        <f t="shared" si="8"/>
        <v>8851</v>
      </c>
      <c r="M56" s="25"/>
      <c r="N56" s="78"/>
      <c r="O56" s="25">
        <v>1254</v>
      </c>
      <c r="P56" s="25"/>
      <c r="Q56" s="25">
        <v>92</v>
      </c>
      <c r="R56" s="25"/>
      <c r="S56" s="17"/>
      <c r="T56" s="17"/>
      <c r="U56" s="17">
        <v>1494.7</v>
      </c>
      <c r="V56" s="17"/>
      <c r="W56" s="17">
        <f t="shared" si="9"/>
        <v>1586.7</v>
      </c>
      <c r="X56" s="17">
        <f t="shared" si="10"/>
        <v>2840.7</v>
      </c>
      <c r="Y56" s="17"/>
      <c r="Z56" s="25">
        <v>-90</v>
      </c>
      <c r="AA56" s="25"/>
      <c r="AB56" s="17">
        <f t="shared" si="11"/>
        <v>2750.7</v>
      </c>
      <c r="AC56" s="17"/>
      <c r="AD56" s="17">
        <f t="shared" si="12"/>
        <v>11601.7</v>
      </c>
      <c r="AE56" s="6"/>
      <c r="AF56" s="25">
        <v>634</v>
      </c>
      <c r="AG56" s="17">
        <f t="shared" si="14"/>
        <v>12235.7</v>
      </c>
    </row>
    <row r="57" spans="1:33" ht="17.5" customHeight="1">
      <c r="A57" s="22">
        <f t="shared" si="13"/>
        <v>1887</v>
      </c>
      <c r="B57" s="25">
        <v>4505</v>
      </c>
      <c r="C57" s="25"/>
      <c r="D57" s="25">
        <v>1567</v>
      </c>
      <c r="E57" s="25"/>
      <c r="F57" s="25">
        <v>1077</v>
      </c>
      <c r="G57" s="25"/>
      <c r="H57" s="25">
        <f t="shared" si="7"/>
        <v>7149</v>
      </c>
      <c r="I57" s="25"/>
      <c r="J57" s="25">
        <v>1854</v>
      </c>
      <c r="K57" s="25"/>
      <c r="L57" s="25">
        <f t="shared" si="8"/>
        <v>9003</v>
      </c>
      <c r="M57" s="25"/>
      <c r="N57" s="78"/>
      <c r="O57" s="25">
        <v>1555</v>
      </c>
      <c r="P57" s="25"/>
      <c r="Q57" s="25">
        <v>119</v>
      </c>
      <c r="R57" s="25"/>
      <c r="S57" s="17"/>
      <c r="T57" s="17"/>
      <c r="U57" s="17">
        <v>1602.8</v>
      </c>
      <c r="V57" s="17"/>
      <c r="W57" s="17">
        <f t="shared" si="9"/>
        <v>1721.8</v>
      </c>
      <c r="X57" s="17">
        <f t="shared" si="10"/>
        <v>3276.8</v>
      </c>
      <c r="Y57" s="17"/>
      <c r="Z57" s="25">
        <v>-127</v>
      </c>
      <c r="AA57" s="25"/>
      <c r="AB57" s="17">
        <f t="shared" si="11"/>
        <v>3149.8</v>
      </c>
      <c r="AC57" s="17"/>
      <c r="AD57" s="17">
        <f t="shared" si="12"/>
        <v>12152.8</v>
      </c>
      <c r="AE57" s="6"/>
      <c r="AF57" s="25">
        <v>374</v>
      </c>
      <c r="AG57" s="17">
        <f t="shared" si="14"/>
        <v>12526.8</v>
      </c>
    </row>
    <row r="58" spans="1:33" ht="17.5" customHeight="1">
      <c r="A58" s="22">
        <f t="shared" si="13"/>
        <v>1888</v>
      </c>
      <c r="B58" s="25">
        <v>4494</v>
      </c>
      <c r="C58" s="25"/>
      <c r="D58" s="25">
        <v>1597</v>
      </c>
      <c r="E58" s="25"/>
      <c r="F58" s="25">
        <v>1092</v>
      </c>
      <c r="G58" s="25"/>
      <c r="H58" s="25">
        <f t="shared" si="7"/>
        <v>7183</v>
      </c>
      <c r="I58" s="25"/>
      <c r="J58" s="25">
        <v>1836</v>
      </c>
      <c r="K58" s="25"/>
      <c r="L58" s="25">
        <f t="shared" si="8"/>
        <v>9019</v>
      </c>
      <c r="M58" s="25"/>
      <c r="N58" s="78"/>
      <c r="O58" s="25">
        <v>1448</v>
      </c>
      <c r="P58" s="25"/>
      <c r="Q58" s="25">
        <v>103</v>
      </c>
      <c r="R58" s="25"/>
      <c r="S58" s="17"/>
      <c r="T58" s="17"/>
      <c r="U58" s="17">
        <v>1559.5</v>
      </c>
      <c r="V58" s="17"/>
      <c r="W58" s="17">
        <f t="shared" si="9"/>
        <v>1662.5</v>
      </c>
      <c r="X58" s="17">
        <f t="shared" si="10"/>
        <v>3110.5</v>
      </c>
      <c r="Y58" s="17"/>
      <c r="Z58" s="25">
        <v>-155</v>
      </c>
      <c r="AA58" s="25"/>
      <c r="AB58" s="17">
        <f t="shared" si="11"/>
        <v>2955.5</v>
      </c>
      <c r="AC58" s="17"/>
      <c r="AD58" s="17">
        <f t="shared" si="12"/>
        <v>11974.5</v>
      </c>
      <c r="AE58" s="6"/>
      <c r="AF58" s="25">
        <v>102</v>
      </c>
      <c r="AG58" s="17">
        <f t="shared" si="14"/>
        <v>12076.5</v>
      </c>
    </row>
    <row r="59" spans="1:33" ht="17.5" customHeight="1">
      <c r="A59" s="22">
        <f t="shared" si="13"/>
        <v>1889</v>
      </c>
      <c r="B59" s="25">
        <v>4686</v>
      </c>
      <c r="C59" s="25"/>
      <c r="D59" s="25">
        <v>1665</v>
      </c>
      <c r="E59" s="25"/>
      <c r="F59" s="25">
        <v>1088</v>
      </c>
      <c r="G59" s="25"/>
      <c r="H59" s="25">
        <f t="shared" si="7"/>
        <v>7439</v>
      </c>
      <c r="I59" s="25"/>
      <c r="J59" s="25">
        <v>1837</v>
      </c>
      <c r="K59" s="25"/>
      <c r="L59" s="25">
        <f t="shared" si="8"/>
        <v>9276</v>
      </c>
      <c r="M59" s="25"/>
      <c r="N59" s="78"/>
      <c r="O59" s="25">
        <v>1571</v>
      </c>
      <c r="P59" s="25"/>
      <c r="Q59" s="25">
        <v>96</v>
      </c>
      <c r="R59" s="25"/>
      <c r="S59" s="17"/>
      <c r="T59" s="17"/>
      <c r="U59" s="17">
        <v>1573.1</v>
      </c>
      <c r="V59" s="17"/>
      <c r="W59" s="17">
        <f t="shared" si="9"/>
        <v>1669.1</v>
      </c>
      <c r="X59" s="17">
        <f t="shared" si="10"/>
        <v>3240.1</v>
      </c>
      <c r="Y59" s="17"/>
      <c r="Z59" s="25">
        <v>-90</v>
      </c>
      <c r="AA59" s="25"/>
      <c r="AB59" s="17">
        <f t="shared" si="11"/>
        <v>3150.1</v>
      </c>
      <c r="AC59" s="17"/>
      <c r="AD59" s="17">
        <f t="shared" si="12"/>
        <v>12426.1</v>
      </c>
      <c r="AE59" s="6"/>
      <c r="AF59" s="25">
        <v>633</v>
      </c>
      <c r="AG59" s="17">
        <f t="shared" si="14"/>
        <v>13059.1</v>
      </c>
    </row>
    <row r="60" spans="1:33" ht="17.5" customHeight="1">
      <c r="A60" s="22">
        <f t="shared" si="13"/>
        <v>1890</v>
      </c>
      <c r="B60" s="25">
        <v>4492</v>
      </c>
      <c r="C60" s="25"/>
      <c r="D60" s="25">
        <v>1763</v>
      </c>
      <c r="E60" s="25"/>
      <c r="F60" s="25">
        <v>1162</v>
      </c>
      <c r="G60" s="25"/>
      <c r="H60" s="25">
        <f t="shared" si="7"/>
        <v>7417</v>
      </c>
      <c r="I60" s="25"/>
      <c r="J60" s="25">
        <v>1820</v>
      </c>
      <c r="K60" s="25"/>
      <c r="L60" s="25">
        <f t="shared" si="8"/>
        <v>9237</v>
      </c>
      <c r="M60" s="25"/>
      <c r="N60" s="78"/>
      <c r="O60" s="25">
        <v>1643</v>
      </c>
      <c r="P60" s="25"/>
      <c r="Q60" s="25">
        <v>102</v>
      </c>
      <c r="R60" s="25"/>
      <c r="S60" s="17"/>
      <c r="T60" s="17"/>
      <c r="U60" s="17">
        <v>2278.5</v>
      </c>
      <c r="V60" s="17"/>
      <c r="W60" s="17">
        <f t="shared" si="9"/>
        <v>2380.5</v>
      </c>
      <c r="X60" s="17">
        <f t="shared" si="10"/>
        <v>4023.5</v>
      </c>
      <c r="Y60" s="17"/>
      <c r="Z60" s="25">
        <v>-116</v>
      </c>
      <c r="AA60" s="25"/>
      <c r="AB60" s="17">
        <f t="shared" si="11"/>
        <v>3907.5</v>
      </c>
      <c r="AC60" s="17"/>
      <c r="AD60" s="17">
        <f t="shared" si="12"/>
        <v>13144.5</v>
      </c>
      <c r="AE60" s="6"/>
      <c r="AF60" s="25">
        <v>235</v>
      </c>
      <c r="AG60" s="17">
        <f t="shared" si="14"/>
        <v>13379.5</v>
      </c>
    </row>
    <row r="61" spans="1:33" ht="17.5" customHeight="1">
      <c r="A61" s="22">
        <f t="shared" si="13"/>
        <v>1891</v>
      </c>
      <c r="B61" s="25">
        <v>4921</v>
      </c>
      <c r="C61" s="25"/>
      <c r="D61" s="25">
        <v>1800</v>
      </c>
      <c r="E61" s="25"/>
      <c r="F61" s="25">
        <v>1183</v>
      </c>
      <c r="G61" s="25"/>
      <c r="H61" s="25">
        <f t="shared" si="7"/>
        <v>7904</v>
      </c>
      <c r="I61" s="25"/>
      <c r="J61" s="25">
        <v>1918</v>
      </c>
      <c r="K61" s="25"/>
      <c r="L61" s="25">
        <f t="shared" si="8"/>
        <v>9822</v>
      </c>
      <c r="M61" s="25"/>
      <c r="N61" s="78"/>
      <c r="O61" s="25">
        <v>1813</v>
      </c>
      <c r="P61" s="25"/>
      <c r="Q61" s="25">
        <v>118</v>
      </c>
      <c r="R61" s="25"/>
      <c r="S61" s="17"/>
      <c r="T61" s="17"/>
      <c r="U61" s="17">
        <v>2086.1999999999998</v>
      </c>
      <c r="V61" s="17"/>
      <c r="W61" s="17">
        <f t="shared" si="9"/>
        <v>2204.1999999999998</v>
      </c>
      <c r="X61" s="17">
        <f t="shared" si="10"/>
        <v>4017.2</v>
      </c>
      <c r="Y61" s="17"/>
      <c r="Z61" s="25">
        <v>-27</v>
      </c>
      <c r="AA61" s="25"/>
      <c r="AB61" s="17">
        <f t="shared" si="11"/>
        <v>3990.2</v>
      </c>
      <c r="AC61" s="17"/>
      <c r="AD61" s="17">
        <f t="shared" si="12"/>
        <v>13812.2</v>
      </c>
      <c r="AE61" s="6"/>
      <c r="AF61" s="25">
        <v>611</v>
      </c>
      <c r="AG61" s="17">
        <f t="shared" si="14"/>
        <v>14423.2</v>
      </c>
    </row>
    <row r="62" spans="1:33" ht="17.5" customHeight="1">
      <c r="A62" s="22">
        <f t="shared" si="13"/>
        <v>1892</v>
      </c>
      <c r="B62" s="25">
        <v>4904</v>
      </c>
      <c r="C62" s="25"/>
      <c r="D62" s="25">
        <v>1886</v>
      </c>
      <c r="E62" s="25"/>
      <c r="F62" s="25">
        <v>1253</v>
      </c>
      <c r="G62" s="25"/>
      <c r="H62" s="25">
        <f t="shared" si="7"/>
        <v>8043</v>
      </c>
      <c r="I62" s="25"/>
      <c r="J62" s="25">
        <v>1979</v>
      </c>
      <c r="K62" s="25"/>
      <c r="L62" s="25">
        <f t="shared" si="8"/>
        <v>10022</v>
      </c>
      <c r="M62" s="25"/>
      <c r="N62" s="78"/>
      <c r="O62" s="25">
        <v>1928</v>
      </c>
      <c r="P62" s="25"/>
      <c r="Q62" s="25">
        <v>255</v>
      </c>
      <c r="R62" s="25"/>
      <c r="S62" s="17"/>
      <c r="T62" s="17"/>
      <c r="U62" s="17">
        <v>2700.3</v>
      </c>
      <c r="V62" s="17"/>
      <c r="W62" s="17">
        <f t="shared" si="9"/>
        <v>2955.3</v>
      </c>
      <c r="X62" s="17">
        <f t="shared" si="10"/>
        <v>4883.3</v>
      </c>
      <c r="Y62" s="17"/>
      <c r="Z62" s="25">
        <v>-56</v>
      </c>
      <c r="AA62" s="25"/>
      <c r="AB62" s="17">
        <f t="shared" si="11"/>
        <v>4827.3</v>
      </c>
      <c r="AC62" s="17"/>
      <c r="AD62" s="17">
        <f t="shared" si="12"/>
        <v>14849.3</v>
      </c>
      <c r="AE62" s="6"/>
      <c r="AF62" s="25">
        <v>50</v>
      </c>
      <c r="AG62" s="17">
        <f t="shared" si="14"/>
        <v>14899.3</v>
      </c>
    </row>
    <row r="63" spans="1:33" ht="17.5" customHeight="1">
      <c r="A63" s="22">
        <f t="shared" si="13"/>
        <v>1893</v>
      </c>
      <c r="B63" s="25">
        <v>5381</v>
      </c>
      <c r="C63" s="25"/>
      <c r="D63" s="25">
        <v>1723</v>
      </c>
      <c r="E63" s="25"/>
      <c r="F63" s="25">
        <v>1114</v>
      </c>
      <c r="G63" s="25"/>
      <c r="H63" s="25">
        <f t="shared" si="7"/>
        <v>8218</v>
      </c>
      <c r="I63" s="25"/>
      <c r="J63" s="25">
        <v>1978</v>
      </c>
      <c r="K63" s="25"/>
      <c r="L63" s="25">
        <f t="shared" si="8"/>
        <v>10196</v>
      </c>
      <c r="M63" s="25"/>
      <c r="N63" s="78"/>
      <c r="O63" s="25">
        <v>1895</v>
      </c>
      <c r="P63" s="25"/>
      <c r="Q63" s="25">
        <v>267</v>
      </c>
      <c r="R63" s="25"/>
      <c r="S63" s="17"/>
      <c r="T63" s="17"/>
      <c r="U63" s="17">
        <v>2175.1999999999998</v>
      </c>
      <c r="V63" s="17"/>
      <c r="W63" s="17">
        <f t="shared" si="9"/>
        <v>2442.1999999999998</v>
      </c>
      <c r="X63" s="17">
        <f t="shared" si="10"/>
        <v>4337.2</v>
      </c>
      <c r="Y63" s="17"/>
      <c r="Z63" s="25">
        <v>-42</v>
      </c>
      <c r="AA63" s="25"/>
      <c r="AB63" s="17">
        <f t="shared" si="11"/>
        <v>4295.2</v>
      </c>
      <c r="AC63" s="17"/>
      <c r="AD63" s="17">
        <f t="shared" si="12"/>
        <v>14491.2</v>
      </c>
      <c r="AE63" s="6"/>
      <c r="AF63" s="25">
        <v>-235</v>
      </c>
      <c r="AG63" s="17">
        <f t="shared" si="14"/>
        <v>14256.2</v>
      </c>
    </row>
    <row r="64" spans="1:33" ht="17.5" customHeight="1">
      <c r="A64" s="22">
        <f t="shared" si="13"/>
        <v>1894</v>
      </c>
      <c r="B64" s="25">
        <v>5248</v>
      </c>
      <c r="C64" s="25"/>
      <c r="D64" s="25">
        <v>1671</v>
      </c>
      <c r="E64" s="25"/>
      <c r="F64" s="25">
        <v>988</v>
      </c>
      <c r="G64" s="25"/>
      <c r="H64" s="25">
        <f t="shared" si="7"/>
        <v>7907</v>
      </c>
      <c r="I64" s="25"/>
      <c r="J64" s="25">
        <v>1925</v>
      </c>
      <c r="K64" s="25"/>
      <c r="L64" s="25">
        <f t="shared" si="8"/>
        <v>9832</v>
      </c>
      <c r="M64" s="25"/>
      <c r="N64" s="78"/>
      <c r="O64" s="25">
        <v>1474</v>
      </c>
      <c r="P64" s="25"/>
      <c r="Q64" s="25">
        <v>106</v>
      </c>
      <c r="R64" s="25"/>
      <c r="S64" s="17"/>
      <c r="T64" s="17"/>
      <c r="U64" s="17">
        <v>2141.1999999999998</v>
      </c>
      <c r="V64" s="17"/>
      <c r="W64" s="17">
        <f t="shared" si="9"/>
        <v>2247.1999999999998</v>
      </c>
      <c r="X64" s="17">
        <f t="shared" si="10"/>
        <v>3721.2</v>
      </c>
      <c r="Y64" s="17"/>
      <c r="Z64" s="25">
        <v>2</v>
      </c>
      <c r="AA64" s="25"/>
      <c r="AB64" s="17">
        <f t="shared" si="11"/>
        <v>3723.2</v>
      </c>
      <c r="AC64" s="17"/>
      <c r="AD64" s="17">
        <f t="shared" si="12"/>
        <v>13555.2</v>
      </c>
      <c r="AE64" s="6"/>
      <c r="AF64" s="25">
        <v>1729</v>
      </c>
      <c r="AG64" s="17">
        <f t="shared" si="14"/>
        <v>15284.2</v>
      </c>
    </row>
    <row r="65" spans="1:33" ht="17.5" customHeight="1">
      <c r="A65" s="22">
        <f t="shared" si="13"/>
        <v>1895</v>
      </c>
      <c r="B65" s="25">
        <v>5626</v>
      </c>
      <c r="C65" s="25"/>
      <c r="D65" s="25">
        <v>1973</v>
      </c>
      <c r="E65" s="25"/>
      <c r="F65" s="25">
        <v>1206</v>
      </c>
      <c r="G65" s="25"/>
      <c r="H65" s="25">
        <f t="shared" si="7"/>
        <v>8805</v>
      </c>
      <c r="I65" s="25"/>
      <c r="J65" s="25">
        <v>2145</v>
      </c>
      <c r="K65" s="25"/>
      <c r="L65" s="25">
        <f t="shared" si="8"/>
        <v>10950</v>
      </c>
      <c r="M65" s="25"/>
      <c r="N65" s="78"/>
      <c r="O65" s="25">
        <v>1844</v>
      </c>
      <c r="P65" s="25"/>
      <c r="Q65" s="25">
        <v>11</v>
      </c>
      <c r="R65" s="25"/>
      <c r="S65" s="17"/>
      <c r="T65" s="17"/>
      <c r="U65" s="17">
        <v>2242</v>
      </c>
      <c r="V65" s="17"/>
      <c r="W65" s="17">
        <f t="shared" si="9"/>
        <v>2253</v>
      </c>
      <c r="X65" s="17">
        <f t="shared" si="10"/>
        <v>4097</v>
      </c>
      <c r="Y65" s="17"/>
      <c r="Z65" s="25">
        <v>-142</v>
      </c>
      <c r="AA65" s="25"/>
      <c r="AB65" s="17">
        <f t="shared" si="11"/>
        <v>3955</v>
      </c>
      <c r="AC65" s="17"/>
      <c r="AD65" s="17">
        <f t="shared" si="12"/>
        <v>14905</v>
      </c>
      <c r="AE65" s="6"/>
      <c r="AF65" s="25">
        <v>-1291</v>
      </c>
      <c r="AG65" s="17">
        <f t="shared" si="14"/>
        <v>13614</v>
      </c>
    </row>
    <row r="66" spans="1:33" ht="17.5" customHeight="1">
      <c r="A66" s="22">
        <f t="shared" si="13"/>
        <v>1896</v>
      </c>
      <c r="B66" s="25">
        <v>5608</v>
      </c>
      <c r="C66" s="25"/>
      <c r="D66" s="25">
        <v>1913</v>
      </c>
      <c r="E66" s="25"/>
      <c r="F66" s="25">
        <v>1187</v>
      </c>
      <c r="G66" s="25"/>
      <c r="H66" s="25">
        <f t="shared" si="7"/>
        <v>8708</v>
      </c>
      <c r="I66" s="25"/>
      <c r="J66" s="25">
        <v>2154</v>
      </c>
      <c r="K66" s="25"/>
      <c r="L66" s="25">
        <f t="shared" si="8"/>
        <v>10862</v>
      </c>
      <c r="M66" s="25"/>
      <c r="N66" s="78"/>
      <c r="O66" s="25">
        <v>2162</v>
      </c>
      <c r="P66" s="25"/>
      <c r="Q66" s="25">
        <v>0</v>
      </c>
      <c r="R66" s="25"/>
      <c r="S66" s="17"/>
      <c r="T66" s="17"/>
      <c r="U66" s="17">
        <v>1883.4</v>
      </c>
      <c r="V66" s="17"/>
      <c r="W66" s="17">
        <f t="shared" si="9"/>
        <v>1883.4</v>
      </c>
      <c r="X66" s="17">
        <f t="shared" si="10"/>
        <v>4045.4</v>
      </c>
      <c r="Y66" s="17"/>
      <c r="Z66" s="25">
        <v>100</v>
      </c>
      <c r="AA66" s="25"/>
      <c r="AB66" s="17">
        <f t="shared" si="11"/>
        <v>4145.3999999999996</v>
      </c>
      <c r="AC66" s="17"/>
      <c r="AD66" s="17">
        <f t="shared" si="12"/>
        <v>15007.4</v>
      </c>
      <c r="AE66" s="6"/>
      <c r="AF66" s="25">
        <v>136</v>
      </c>
      <c r="AG66" s="17">
        <f t="shared" si="14"/>
        <v>15143.4</v>
      </c>
    </row>
    <row r="67" spans="1:33" ht="17.5" customHeight="1">
      <c r="A67" s="22">
        <f t="shared" si="13"/>
        <v>1897</v>
      </c>
      <c r="B67" s="25">
        <v>5998</v>
      </c>
      <c r="C67" s="25"/>
      <c r="D67" s="25">
        <v>2058</v>
      </c>
      <c r="E67" s="25"/>
      <c r="F67" s="25">
        <v>1270</v>
      </c>
      <c r="G67" s="25"/>
      <c r="H67" s="25">
        <f t="shared" si="7"/>
        <v>9326</v>
      </c>
      <c r="I67" s="25"/>
      <c r="J67" s="25">
        <v>2306</v>
      </c>
      <c r="K67" s="25"/>
      <c r="L67" s="25">
        <f t="shared" si="8"/>
        <v>11632</v>
      </c>
      <c r="M67" s="25"/>
      <c r="N67" s="78"/>
      <c r="O67" s="25">
        <v>1758</v>
      </c>
      <c r="P67" s="25"/>
      <c r="Q67" s="25">
        <v>0</v>
      </c>
      <c r="R67" s="25"/>
      <c r="S67" s="17"/>
      <c r="T67" s="17"/>
      <c r="U67" s="17">
        <v>2162</v>
      </c>
      <c r="V67" s="17"/>
      <c r="W67" s="17">
        <f t="shared" si="9"/>
        <v>2162</v>
      </c>
      <c r="X67" s="17">
        <f t="shared" si="10"/>
        <v>3920</v>
      </c>
      <c r="Y67" s="17"/>
      <c r="Z67" s="25">
        <v>156</v>
      </c>
      <c r="AA67" s="25"/>
      <c r="AB67" s="17">
        <f t="shared" si="11"/>
        <v>4076</v>
      </c>
      <c r="AC67" s="17"/>
      <c r="AD67" s="17">
        <f t="shared" si="12"/>
        <v>15708</v>
      </c>
      <c r="AE67" s="6"/>
      <c r="AF67" s="25">
        <v>438</v>
      </c>
      <c r="AG67" s="17">
        <f t="shared" si="14"/>
        <v>16146</v>
      </c>
    </row>
    <row r="68" spans="1:33" ht="17.5" customHeight="1">
      <c r="A68" s="22">
        <f t="shared" si="13"/>
        <v>1898</v>
      </c>
      <c r="B68" s="25">
        <v>6137</v>
      </c>
      <c r="C68" s="25"/>
      <c r="D68" s="25">
        <v>2044</v>
      </c>
      <c r="E68" s="25"/>
      <c r="F68" s="25">
        <v>1230</v>
      </c>
      <c r="G68" s="25"/>
      <c r="H68" s="25">
        <f t="shared" si="7"/>
        <v>9411</v>
      </c>
      <c r="I68" s="25"/>
      <c r="J68" s="25">
        <v>2348</v>
      </c>
      <c r="K68" s="25"/>
      <c r="L68" s="25">
        <f t="shared" si="8"/>
        <v>11759</v>
      </c>
      <c r="M68" s="25"/>
      <c r="N68" s="78"/>
      <c r="O68" s="25">
        <v>1832</v>
      </c>
      <c r="P68" s="25"/>
      <c r="Q68" s="25">
        <v>0</v>
      </c>
      <c r="R68" s="25"/>
      <c r="S68" s="17"/>
      <c r="T68" s="17"/>
      <c r="U68" s="17">
        <v>1997</v>
      </c>
      <c r="V68" s="17"/>
      <c r="W68" s="17">
        <f t="shared" si="9"/>
        <v>1997</v>
      </c>
      <c r="X68" s="17">
        <f t="shared" si="10"/>
        <v>3829</v>
      </c>
      <c r="Y68" s="17"/>
      <c r="Z68" s="25">
        <v>443</v>
      </c>
      <c r="AA68" s="25"/>
      <c r="AB68" s="17">
        <f t="shared" si="11"/>
        <v>4272</v>
      </c>
      <c r="AC68" s="17"/>
      <c r="AD68" s="17">
        <f t="shared" si="12"/>
        <v>16031</v>
      </c>
      <c r="AE68" s="6"/>
      <c r="AF68" s="25">
        <v>242</v>
      </c>
      <c r="AG68" s="17">
        <f t="shared" si="14"/>
        <v>16273</v>
      </c>
    </row>
    <row r="69" spans="1:33" ht="17.5" customHeight="1">
      <c r="A69" s="22">
        <f t="shared" si="13"/>
        <v>1899</v>
      </c>
      <c r="B69" s="25">
        <v>6727</v>
      </c>
      <c r="C69" s="25"/>
      <c r="D69" s="25">
        <v>2290</v>
      </c>
      <c r="E69" s="25"/>
      <c r="F69" s="25">
        <v>1403</v>
      </c>
      <c r="G69" s="25"/>
      <c r="H69" s="25">
        <f t="shared" si="7"/>
        <v>10420</v>
      </c>
      <c r="I69" s="25"/>
      <c r="J69" s="25">
        <v>2602</v>
      </c>
      <c r="K69" s="25"/>
      <c r="L69" s="25">
        <f t="shared" si="8"/>
        <v>13022</v>
      </c>
      <c r="M69" s="25"/>
      <c r="N69" s="78"/>
      <c r="O69" s="25">
        <v>2297</v>
      </c>
      <c r="P69" s="25"/>
      <c r="Q69" s="25">
        <v>41</v>
      </c>
      <c r="R69" s="25"/>
      <c r="S69" s="17"/>
      <c r="T69" s="17"/>
      <c r="U69" s="17">
        <v>1887.2</v>
      </c>
      <c r="V69" s="17"/>
      <c r="W69" s="17">
        <f t="shared" si="9"/>
        <v>1928.2</v>
      </c>
      <c r="X69" s="17">
        <f t="shared" si="10"/>
        <v>4225.2</v>
      </c>
      <c r="Y69" s="17"/>
      <c r="Z69" s="25">
        <v>280</v>
      </c>
      <c r="AA69" s="25"/>
      <c r="AB69" s="17">
        <f t="shared" si="11"/>
        <v>4505.2</v>
      </c>
      <c r="AC69" s="17"/>
      <c r="AD69" s="17">
        <f t="shared" si="12"/>
        <v>17527.2</v>
      </c>
      <c r="AE69" s="6"/>
      <c r="AF69" s="25">
        <v>779</v>
      </c>
      <c r="AG69" s="17">
        <f t="shared" si="14"/>
        <v>18306.2</v>
      </c>
    </row>
    <row r="70" spans="1:33" ht="17.5" customHeight="1">
      <c r="A70" s="22">
        <f t="shared" si="13"/>
        <v>1900</v>
      </c>
      <c r="B70" s="25">
        <v>6762</v>
      </c>
      <c r="C70" s="25"/>
      <c r="D70" s="25">
        <v>2301</v>
      </c>
      <c r="E70" s="25"/>
      <c r="F70" s="25">
        <v>1335</v>
      </c>
      <c r="G70" s="25"/>
      <c r="H70" s="25">
        <f t="shared" si="7"/>
        <v>10398</v>
      </c>
      <c r="I70" s="25"/>
      <c r="J70" s="25">
        <v>2682</v>
      </c>
      <c r="K70" s="25"/>
      <c r="L70" s="25">
        <f t="shared" si="8"/>
        <v>13080</v>
      </c>
      <c r="M70" s="25"/>
      <c r="N70" s="78"/>
      <c r="O70" s="25">
        <v>2696</v>
      </c>
      <c r="P70" s="25"/>
      <c r="Q70" s="25">
        <v>48</v>
      </c>
      <c r="R70" s="25"/>
      <c r="S70" s="17"/>
      <c r="T70" s="17"/>
      <c r="U70" s="17">
        <v>2135.8000000000002</v>
      </c>
      <c r="V70" s="17"/>
      <c r="W70" s="17">
        <f t="shared" si="9"/>
        <v>2183.8000000000002</v>
      </c>
      <c r="X70" s="17">
        <f t="shared" si="10"/>
        <v>4879.8</v>
      </c>
      <c r="Y70" s="17"/>
      <c r="Z70" s="25">
        <v>412</v>
      </c>
      <c r="AA70" s="25"/>
      <c r="AB70" s="17">
        <f t="shared" si="11"/>
        <v>5291.8</v>
      </c>
      <c r="AC70" s="17"/>
      <c r="AD70" s="17">
        <f t="shared" si="12"/>
        <v>18371.8</v>
      </c>
      <c r="AE70" s="6"/>
      <c r="AF70" s="25">
        <v>164</v>
      </c>
      <c r="AG70" s="17">
        <f t="shared" si="14"/>
        <v>18535.8</v>
      </c>
    </row>
    <row r="71" spans="1:33" ht="17.5" customHeight="1">
      <c r="A71" s="22">
        <f t="shared" si="13"/>
        <v>1901</v>
      </c>
      <c r="B71" s="25">
        <v>7586</v>
      </c>
      <c r="C71" s="25"/>
      <c r="D71" s="25">
        <v>2549</v>
      </c>
      <c r="E71" s="25"/>
      <c r="F71" s="25">
        <v>1429</v>
      </c>
      <c r="G71" s="25"/>
      <c r="H71" s="25">
        <f t="shared" si="7"/>
        <v>11564</v>
      </c>
      <c r="I71" s="25"/>
      <c r="J71" s="25">
        <v>3008</v>
      </c>
      <c r="K71" s="25"/>
      <c r="L71" s="25">
        <f t="shared" si="8"/>
        <v>14572</v>
      </c>
      <c r="M71" s="25"/>
      <c r="N71" s="78"/>
      <c r="O71" s="25">
        <v>2793</v>
      </c>
      <c r="P71" s="25"/>
      <c r="Q71" s="25">
        <v>38</v>
      </c>
      <c r="R71" s="25"/>
      <c r="S71" s="17"/>
      <c r="T71" s="17"/>
      <c r="U71" s="17">
        <v>2372.8000000000002</v>
      </c>
      <c r="V71" s="17"/>
      <c r="W71" s="17">
        <f t="shared" si="9"/>
        <v>2410.8000000000002</v>
      </c>
      <c r="X71" s="17">
        <f t="shared" si="10"/>
        <v>5203.8</v>
      </c>
      <c r="Y71" s="17"/>
      <c r="Z71" s="25">
        <v>337</v>
      </c>
      <c r="AA71" s="25"/>
      <c r="AB71" s="17">
        <f t="shared" si="11"/>
        <v>5540.8</v>
      </c>
      <c r="AC71" s="17"/>
      <c r="AD71" s="17">
        <f t="shared" si="12"/>
        <v>20112.8</v>
      </c>
      <c r="AE71" s="6"/>
      <c r="AF71" s="25">
        <v>806</v>
      </c>
      <c r="AG71" s="17">
        <f t="shared" si="14"/>
        <v>20918.8</v>
      </c>
    </row>
    <row r="72" spans="1:33" ht="17.5" customHeight="1">
      <c r="A72" s="22">
        <f t="shared" si="13"/>
        <v>1902</v>
      </c>
      <c r="B72" s="25">
        <v>7337</v>
      </c>
      <c r="C72" s="25"/>
      <c r="D72" s="25">
        <v>2643</v>
      </c>
      <c r="E72" s="25"/>
      <c r="F72" s="25">
        <v>1523</v>
      </c>
      <c r="G72" s="25"/>
      <c r="H72" s="25">
        <f t="shared" si="7"/>
        <v>11503</v>
      </c>
      <c r="I72" s="25"/>
      <c r="J72" s="25">
        <v>3087</v>
      </c>
      <c r="K72" s="25"/>
      <c r="L72" s="25">
        <f t="shared" si="8"/>
        <v>14590</v>
      </c>
      <c r="M72" s="25"/>
      <c r="N72" s="78"/>
      <c r="O72" s="25">
        <v>3190</v>
      </c>
      <c r="P72" s="25"/>
      <c r="Q72" s="25">
        <v>26</v>
      </c>
      <c r="R72" s="25"/>
      <c r="S72" s="17"/>
      <c r="T72" s="17"/>
      <c r="U72" s="17">
        <v>2621.1999999999998</v>
      </c>
      <c r="V72" s="17"/>
      <c r="W72" s="17">
        <f t="shared" si="9"/>
        <v>2647.2</v>
      </c>
      <c r="X72" s="17">
        <f t="shared" si="10"/>
        <v>5837.2</v>
      </c>
      <c r="Y72" s="17"/>
      <c r="Z72" s="25">
        <v>150</v>
      </c>
      <c r="AA72" s="25"/>
      <c r="AB72" s="17">
        <f t="shared" si="11"/>
        <v>5987.2</v>
      </c>
      <c r="AC72" s="17"/>
      <c r="AD72" s="17">
        <f t="shared" si="12"/>
        <v>20577.2</v>
      </c>
      <c r="AE72" s="6"/>
      <c r="AF72" s="25">
        <v>314</v>
      </c>
      <c r="AG72" s="17">
        <f t="shared" si="14"/>
        <v>20891.2</v>
      </c>
    </row>
    <row r="73" spans="1:33" ht="17.5" customHeight="1">
      <c r="A73" s="22">
        <f t="shared" si="13"/>
        <v>1903</v>
      </c>
      <c r="B73" s="25">
        <v>7783</v>
      </c>
      <c r="C73" s="25"/>
      <c r="D73" s="25">
        <v>2774</v>
      </c>
      <c r="E73" s="25"/>
      <c r="F73" s="25">
        <v>1546</v>
      </c>
      <c r="G73" s="25"/>
      <c r="H73" s="25">
        <f t="shared" si="7"/>
        <v>12103</v>
      </c>
      <c r="I73" s="25"/>
      <c r="J73" s="25">
        <v>3296</v>
      </c>
      <c r="K73" s="25"/>
      <c r="L73" s="25">
        <f t="shared" si="8"/>
        <v>15399</v>
      </c>
      <c r="M73" s="25"/>
      <c r="N73" s="78"/>
      <c r="O73" s="25">
        <v>3626</v>
      </c>
      <c r="P73" s="25"/>
      <c r="Q73" s="25">
        <v>13</v>
      </c>
      <c r="R73" s="25"/>
      <c r="S73" s="17"/>
      <c r="T73" s="17"/>
      <c r="U73" s="17">
        <v>2471.1</v>
      </c>
      <c r="V73" s="17"/>
      <c r="W73" s="17">
        <f t="shared" si="9"/>
        <v>2484.1</v>
      </c>
      <c r="X73" s="17">
        <f t="shared" si="10"/>
        <v>6110.1</v>
      </c>
      <c r="Y73" s="17"/>
      <c r="Z73" s="25">
        <v>221</v>
      </c>
      <c r="AA73" s="25"/>
      <c r="AB73" s="17">
        <f t="shared" si="11"/>
        <v>6331.1</v>
      </c>
      <c r="AC73" s="17"/>
      <c r="AD73" s="17">
        <f t="shared" si="12"/>
        <v>21730.1</v>
      </c>
      <c r="AE73" s="6"/>
      <c r="AF73" s="25">
        <v>635</v>
      </c>
      <c r="AG73" s="17">
        <f t="shared" si="14"/>
        <v>22365.1</v>
      </c>
    </row>
    <row r="74" spans="1:33" ht="17.5" customHeight="1">
      <c r="A74" s="22">
        <f t="shared" si="13"/>
        <v>1904</v>
      </c>
      <c r="B74" s="25">
        <v>7791</v>
      </c>
      <c r="C74" s="25"/>
      <c r="D74" s="25">
        <v>2801</v>
      </c>
      <c r="E74" s="25"/>
      <c r="F74" s="25">
        <v>1521</v>
      </c>
      <c r="G74" s="25"/>
      <c r="H74" s="25">
        <f t="shared" si="7"/>
        <v>12113</v>
      </c>
      <c r="I74" s="25"/>
      <c r="J74" s="25">
        <v>3394</v>
      </c>
      <c r="K74" s="25"/>
      <c r="L74" s="25">
        <f t="shared" si="8"/>
        <v>15507</v>
      </c>
      <c r="M74" s="25"/>
      <c r="N74" s="78"/>
      <c r="O74" s="25">
        <v>3083</v>
      </c>
      <c r="P74" s="25"/>
      <c r="Q74" s="25">
        <v>54</v>
      </c>
      <c r="R74" s="25"/>
      <c r="S74" s="17"/>
      <c r="T74" s="17"/>
      <c r="U74" s="17">
        <v>2443.3000000000002</v>
      </c>
      <c r="V74" s="17"/>
      <c r="W74" s="17">
        <f t="shared" si="9"/>
        <v>2497.3000000000002</v>
      </c>
      <c r="X74" s="17">
        <f t="shared" si="10"/>
        <v>5580.3</v>
      </c>
      <c r="Y74" s="17"/>
      <c r="Z74" s="25">
        <v>148</v>
      </c>
      <c r="AA74" s="25"/>
      <c r="AB74" s="17">
        <f t="shared" si="11"/>
        <v>5728.3</v>
      </c>
      <c r="AC74" s="17"/>
      <c r="AD74" s="17">
        <f t="shared" si="12"/>
        <v>21235.3</v>
      </c>
      <c r="AE74" s="6"/>
      <c r="AF74" s="25">
        <v>-135</v>
      </c>
      <c r="AG74" s="17">
        <f t="shared" si="14"/>
        <v>21100.3</v>
      </c>
    </row>
    <row r="75" spans="1:33" ht="17.5" customHeight="1">
      <c r="A75" s="22">
        <f t="shared" si="13"/>
        <v>1905</v>
      </c>
      <c r="B75" s="25">
        <v>8013</v>
      </c>
      <c r="C75" s="25"/>
      <c r="D75" s="25">
        <v>2941</v>
      </c>
      <c r="E75" s="25"/>
      <c r="F75" s="25">
        <v>1734</v>
      </c>
      <c r="G75" s="25"/>
      <c r="H75" s="25">
        <f t="shared" si="7"/>
        <v>12688</v>
      </c>
      <c r="I75" s="25"/>
      <c r="J75" s="25">
        <v>3625</v>
      </c>
      <c r="K75" s="25"/>
      <c r="L75" s="25">
        <f t="shared" si="8"/>
        <v>16313</v>
      </c>
      <c r="M75" s="25"/>
      <c r="N75" s="78"/>
      <c r="O75" s="25">
        <v>3637</v>
      </c>
      <c r="P75" s="25"/>
      <c r="Q75" s="25">
        <v>66</v>
      </c>
      <c r="R75" s="25"/>
      <c r="S75" s="17"/>
      <c r="T75" s="17"/>
      <c r="U75" s="17">
        <v>2543.3000000000002</v>
      </c>
      <c r="V75" s="17"/>
      <c r="W75" s="17">
        <f t="shared" si="9"/>
        <v>2609.3000000000002</v>
      </c>
      <c r="X75" s="17">
        <f t="shared" si="10"/>
        <v>6246.3</v>
      </c>
      <c r="Y75" s="17"/>
      <c r="Z75" s="25">
        <v>153</v>
      </c>
      <c r="AA75" s="25"/>
      <c r="AB75" s="17">
        <f t="shared" si="11"/>
        <v>6399.3</v>
      </c>
      <c r="AC75" s="17"/>
      <c r="AD75" s="17">
        <f t="shared" si="12"/>
        <v>22712.3</v>
      </c>
      <c r="AE75" s="6"/>
      <c r="AF75" s="25">
        <v>746</v>
      </c>
      <c r="AG75" s="17">
        <f t="shared" si="14"/>
        <v>23458.3</v>
      </c>
    </row>
    <row r="76" spans="1:33" ht="17.5" customHeight="1">
      <c r="A76" s="22">
        <f t="shared" si="13"/>
        <v>1906</v>
      </c>
      <c r="B76" s="25">
        <v>8910</v>
      </c>
      <c r="C76" s="25"/>
      <c r="D76" s="25">
        <v>3172</v>
      </c>
      <c r="E76" s="25"/>
      <c r="F76" s="25">
        <v>1968</v>
      </c>
      <c r="G76" s="25"/>
      <c r="H76" s="25">
        <f t="shared" si="7"/>
        <v>14050</v>
      </c>
      <c r="I76" s="25"/>
      <c r="J76" s="25">
        <v>4016</v>
      </c>
      <c r="K76" s="25"/>
      <c r="L76" s="25">
        <f t="shared" si="8"/>
        <v>18066</v>
      </c>
      <c r="M76" s="25"/>
      <c r="N76" s="78"/>
      <c r="O76" s="25">
        <v>4559</v>
      </c>
      <c r="P76" s="25"/>
      <c r="Q76" s="25">
        <v>93</v>
      </c>
      <c r="R76" s="25"/>
      <c r="S76" s="17"/>
      <c r="T76" s="17"/>
      <c r="U76" s="17">
        <v>2750.5</v>
      </c>
      <c r="V76" s="17"/>
      <c r="W76" s="17">
        <f t="shared" si="9"/>
        <v>2843.5</v>
      </c>
      <c r="X76" s="17">
        <f t="shared" si="10"/>
        <v>7402.5</v>
      </c>
      <c r="Y76" s="17"/>
      <c r="Z76" s="25">
        <v>137</v>
      </c>
      <c r="AA76" s="25"/>
      <c r="AB76" s="17">
        <f t="shared" si="11"/>
        <v>7539.5</v>
      </c>
      <c r="AC76" s="17"/>
      <c r="AD76" s="17">
        <f t="shared" si="12"/>
        <v>25605.5</v>
      </c>
      <c r="AE76" s="6"/>
      <c r="AF76" s="25">
        <v>1477</v>
      </c>
      <c r="AG76" s="17">
        <f t="shared" si="14"/>
        <v>27082.5</v>
      </c>
    </row>
    <row r="77" spans="1:33" ht="17.5" customHeight="1">
      <c r="A77" s="22">
        <f t="shared" si="13"/>
        <v>1907</v>
      </c>
      <c r="B77" s="25">
        <v>9155</v>
      </c>
      <c r="C77" s="25"/>
      <c r="D77" s="25">
        <v>3128</v>
      </c>
      <c r="E77" s="25"/>
      <c r="F77" s="25">
        <v>1886</v>
      </c>
      <c r="G77" s="25"/>
      <c r="H77" s="25">
        <f t="shared" si="7"/>
        <v>14169</v>
      </c>
      <c r="I77" s="25"/>
      <c r="J77" s="25">
        <v>4165</v>
      </c>
      <c r="K77" s="25"/>
      <c r="L77" s="25">
        <f t="shared" si="8"/>
        <v>18334</v>
      </c>
      <c r="M77" s="25"/>
      <c r="N77" s="78"/>
      <c r="O77" s="25">
        <v>4810</v>
      </c>
      <c r="P77" s="25"/>
      <c r="Q77" s="25">
        <v>112</v>
      </c>
      <c r="R77" s="25"/>
      <c r="S77" s="17"/>
      <c r="T77" s="17"/>
      <c r="U77" s="17">
        <v>2876.7</v>
      </c>
      <c r="V77" s="17"/>
      <c r="W77" s="17">
        <f t="shared" si="9"/>
        <v>2988.7</v>
      </c>
      <c r="X77" s="17">
        <f t="shared" si="10"/>
        <v>7798.7</v>
      </c>
      <c r="Y77" s="17"/>
      <c r="Z77" s="25">
        <v>104</v>
      </c>
      <c r="AA77" s="25"/>
      <c r="AB77" s="17">
        <f t="shared" si="11"/>
        <v>7902.7</v>
      </c>
      <c r="AC77" s="17"/>
      <c r="AD77" s="17">
        <f t="shared" si="12"/>
        <v>26236.7</v>
      </c>
      <c r="AE77" s="6"/>
      <c r="AF77" s="25">
        <v>5</v>
      </c>
      <c r="AG77" s="17">
        <f t="shared" si="14"/>
        <v>26241.7</v>
      </c>
    </row>
    <row r="78" spans="1:33" ht="17.5" customHeight="1">
      <c r="A78" s="22">
        <f t="shared" si="13"/>
        <v>1908</v>
      </c>
      <c r="B78" s="25">
        <v>8265</v>
      </c>
      <c r="C78" s="25"/>
      <c r="D78" s="25">
        <v>3137</v>
      </c>
      <c r="E78" s="25"/>
      <c r="F78" s="25">
        <v>1633</v>
      </c>
      <c r="G78" s="25"/>
      <c r="H78" s="25">
        <f t="shared" si="7"/>
        <v>13035</v>
      </c>
      <c r="I78" s="25"/>
      <c r="J78" s="25">
        <v>4057</v>
      </c>
      <c r="K78" s="25"/>
      <c r="L78" s="25">
        <f t="shared" si="8"/>
        <v>17092</v>
      </c>
      <c r="M78" s="25"/>
      <c r="N78" s="78"/>
      <c r="O78" s="25">
        <v>3328</v>
      </c>
      <c r="P78" s="25"/>
      <c r="Q78" s="25">
        <v>225</v>
      </c>
      <c r="R78" s="25"/>
      <c r="S78" s="17"/>
      <c r="T78" s="17"/>
      <c r="U78" s="17">
        <v>2650.6</v>
      </c>
      <c r="V78" s="17"/>
      <c r="W78" s="17">
        <f t="shared" si="9"/>
        <v>2875.6</v>
      </c>
      <c r="X78" s="17">
        <f t="shared" si="10"/>
        <v>6203.6</v>
      </c>
      <c r="Y78" s="17"/>
      <c r="Z78" s="25">
        <v>201</v>
      </c>
      <c r="AA78" s="25"/>
      <c r="AB78" s="17">
        <f t="shared" si="11"/>
        <v>6404.6</v>
      </c>
      <c r="AC78" s="17"/>
      <c r="AD78" s="17">
        <f t="shared" si="12"/>
        <v>23496.6</v>
      </c>
      <c r="AE78" s="6"/>
      <c r="AF78" s="25">
        <v>-1459</v>
      </c>
      <c r="AG78" s="17">
        <f t="shared" si="14"/>
        <v>22037.599999999999</v>
      </c>
    </row>
    <row r="79" spans="1:33" ht="17.5" customHeight="1">
      <c r="A79" s="22">
        <f t="shared" si="13"/>
        <v>1909</v>
      </c>
      <c r="B79" s="25">
        <v>9046</v>
      </c>
      <c r="C79" s="25"/>
      <c r="D79" s="25">
        <v>3427</v>
      </c>
      <c r="E79" s="25"/>
      <c r="F79" s="25">
        <v>2043</v>
      </c>
      <c r="G79" s="25"/>
      <c r="H79" s="25">
        <f t="shared" si="7"/>
        <v>14516</v>
      </c>
      <c r="I79" s="25"/>
      <c r="J79" s="25">
        <v>4429</v>
      </c>
      <c r="K79" s="25"/>
      <c r="L79" s="25">
        <f t="shared" si="8"/>
        <v>18945</v>
      </c>
      <c r="M79" s="25"/>
      <c r="N79" s="78"/>
      <c r="O79" s="25">
        <v>3778</v>
      </c>
      <c r="P79" s="25"/>
      <c r="Q79" s="25">
        <v>248</v>
      </c>
      <c r="R79" s="25"/>
      <c r="S79" s="17"/>
      <c r="T79" s="17"/>
      <c r="U79" s="17">
        <v>2963.4</v>
      </c>
      <c r="V79" s="17"/>
      <c r="W79" s="17">
        <f t="shared" si="9"/>
        <v>3211.4</v>
      </c>
      <c r="X79" s="17">
        <f t="shared" si="10"/>
        <v>6989.4</v>
      </c>
      <c r="Y79" s="17"/>
      <c r="Z79" s="25">
        <v>-134</v>
      </c>
      <c r="AA79" s="25"/>
      <c r="AB79" s="17">
        <f t="shared" si="11"/>
        <v>6855.4</v>
      </c>
      <c r="AC79" s="17"/>
      <c r="AD79" s="17">
        <f t="shared" si="12"/>
        <v>25800.400000000001</v>
      </c>
      <c r="AE79" s="6"/>
      <c r="AF79" s="25">
        <v>960</v>
      </c>
      <c r="AG79" s="17">
        <f t="shared" si="14"/>
        <v>26760.400000000001</v>
      </c>
    </row>
    <row r="80" spans="1:33" ht="17.5" customHeight="1">
      <c r="A80" s="6"/>
      <c r="B80" s="6"/>
      <c r="C80" s="6"/>
      <c r="D80" s="6"/>
      <c r="E80" s="6"/>
      <c r="F80" s="6"/>
      <c r="G80" s="6"/>
      <c r="H80" s="6"/>
      <c r="I80" s="6"/>
      <c r="J80" s="6"/>
      <c r="K80" s="6"/>
      <c r="L80" s="6"/>
      <c r="M80" s="6"/>
      <c r="N80" s="16"/>
      <c r="O80" s="6"/>
      <c r="P80" s="6"/>
      <c r="Q80" s="6"/>
      <c r="R80" s="6"/>
      <c r="S80" s="6"/>
      <c r="T80" s="6"/>
      <c r="U80" s="6"/>
      <c r="V80" s="6"/>
      <c r="W80" s="6"/>
      <c r="X80" s="6"/>
      <c r="Y80" s="6"/>
      <c r="Z80" s="6"/>
      <c r="AA80" s="6"/>
      <c r="AB80" s="6"/>
      <c r="AC80" s="6"/>
      <c r="AD80" s="6"/>
      <c r="AE80" s="6"/>
      <c r="AF80" s="6"/>
      <c r="AG80" s="17"/>
    </row>
    <row r="81" spans="1:33" ht="17.5" customHeight="1">
      <c r="A81" s="6"/>
      <c r="B81" s="6"/>
      <c r="C81" s="6"/>
      <c r="D81" s="6"/>
      <c r="E81" s="6"/>
      <c r="F81" s="6"/>
      <c r="G81" s="6"/>
      <c r="H81" s="6"/>
      <c r="I81" s="6"/>
      <c r="J81" s="6"/>
      <c r="K81" s="6"/>
      <c r="L81" s="6"/>
      <c r="M81" s="6"/>
      <c r="N81" s="16"/>
      <c r="O81" s="6"/>
      <c r="P81" s="6"/>
      <c r="Q81" s="6"/>
      <c r="R81" s="6"/>
      <c r="S81" s="6"/>
      <c r="T81" s="6"/>
      <c r="U81" s="6"/>
      <c r="V81" s="6"/>
      <c r="W81" s="6"/>
      <c r="X81" s="6"/>
      <c r="Y81" s="6"/>
      <c r="Z81" s="6"/>
      <c r="AA81" s="6"/>
      <c r="AB81" s="6"/>
      <c r="AC81" s="6"/>
      <c r="AD81" s="6"/>
      <c r="AE81" s="6"/>
      <c r="AF81" s="6"/>
      <c r="AG81" s="6"/>
    </row>
    <row r="82" spans="1:33" ht="17.5" customHeight="1">
      <c r="A82" s="6"/>
      <c r="B82" s="6"/>
      <c r="C82" s="6"/>
      <c r="D82" s="6"/>
      <c r="E82" s="6"/>
      <c r="F82" s="6"/>
      <c r="G82" s="6"/>
      <c r="H82" s="6"/>
      <c r="I82" s="6"/>
      <c r="J82" s="6"/>
      <c r="K82" s="6"/>
      <c r="L82" s="6"/>
      <c r="M82" s="6"/>
      <c r="N82" s="16"/>
      <c r="O82" s="6"/>
      <c r="P82" s="6"/>
      <c r="Q82" s="6"/>
      <c r="R82" s="6"/>
      <c r="S82" s="6"/>
      <c r="T82" s="6"/>
      <c r="U82" s="6"/>
      <c r="V82" s="6"/>
      <c r="W82" s="6"/>
      <c r="X82" s="6"/>
      <c r="Y82" s="6"/>
      <c r="Z82" s="6"/>
      <c r="AA82" s="6"/>
      <c r="AB82" s="6"/>
      <c r="AC82" s="6"/>
      <c r="AD82" s="6"/>
      <c r="AE82" s="6"/>
      <c r="AF82" s="6"/>
      <c r="AG82" s="6"/>
    </row>
    <row r="83" spans="1:33" ht="13.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row>
    <row r="84" spans="1:33" ht="13.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row>
    <row r="85" spans="1:33" ht="13.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row>
    <row r="86" spans="1:33" ht="17.5" customHeight="1">
      <c r="A86" s="6"/>
      <c r="B86" s="6"/>
      <c r="C86" s="6"/>
      <c r="D86" s="6"/>
      <c r="E86" s="6"/>
      <c r="F86" s="6"/>
      <c r="G86" s="6"/>
      <c r="H86" s="6"/>
      <c r="I86" s="6"/>
      <c r="J86" s="6"/>
      <c r="K86" s="6"/>
      <c r="L86" s="6"/>
      <c r="M86" s="6"/>
      <c r="N86" s="16"/>
      <c r="O86" s="6"/>
      <c r="P86" s="6"/>
      <c r="Q86" s="6"/>
      <c r="R86" s="6"/>
      <c r="S86" s="6"/>
      <c r="T86" s="6"/>
      <c r="U86" s="6"/>
      <c r="V86" s="6"/>
      <c r="W86" s="6"/>
      <c r="X86" s="6"/>
      <c r="Y86" s="6"/>
      <c r="Z86" s="6"/>
      <c r="AA86" s="6"/>
      <c r="AB86" s="6"/>
      <c r="AC86" s="6"/>
      <c r="AD86" s="6"/>
      <c r="AE86" s="6"/>
      <c r="AF86" s="6"/>
      <c r="AG86" s="6"/>
    </row>
    <row r="87" spans="1:33" ht="17.5" customHeight="1">
      <c r="A87" s="6"/>
      <c r="B87" s="6"/>
      <c r="C87" s="6"/>
      <c r="D87" s="6"/>
      <c r="E87" s="6"/>
      <c r="F87" s="6"/>
      <c r="G87" s="6"/>
      <c r="H87" s="6"/>
      <c r="I87" s="6"/>
      <c r="J87" s="6"/>
      <c r="K87" s="6"/>
      <c r="L87" s="6"/>
      <c r="M87" s="6"/>
      <c r="N87" s="16"/>
      <c r="O87" s="6"/>
      <c r="P87" s="6"/>
      <c r="Q87" s="6"/>
      <c r="R87" s="6"/>
      <c r="S87" s="6"/>
      <c r="T87" s="6"/>
      <c r="U87" s="6"/>
      <c r="V87" s="6"/>
      <c r="W87" s="6"/>
      <c r="X87" s="6"/>
      <c r="Y87" s="6"/>
      <c r="Z87" s="6"/>
      <c r="AA87" s="6"/>
      <c r="AB87" s="6"/>
      <c r="AC87" s="6"/>
      <c r="AD87" s="6"/>
      <c r="AE87" s="6"/>
      <c r="AF87" s="6"/>
      <c r="AG87" s="6"/>
    </row>
    <row r="88" spans="1:33" ht="17.5" customHeight="1">
      <c r="A88" s="6"/>
      <c r="B88" s="6"/>
      <c r="C88" s="6"/>
      <c r="D88" s="6"/>
      <c r="E88" s="6"/>
      <c r="F88" s="6"/>
      <c r="G88" s="6"/>
      <c r="H88" s="6"/>
      <c r="I88" s="6"/>
      <c r="J88" s="6"/>
      <c r="K88" s="6"/>
      <c r="L88" s="6"/>
      <c r="M88" s="6"/>
      <c r="N88" s="16"/>
      <c r="O88" s="6"/>
      <c r="P88" s="6"/>
      <c r="Q88" s="6"/>
      <c r="R88" s="6"/>
      <c r="S88" s="6"/>
      <c r="T88" s="6"/>
      <c r="U88" s="6"/>
      <c r="V88" s="6"/>
      <c r="W88" s="6"/>
      <c r="X88" s="6"/>
      <c r="Y88" s="6"/>
      <c r="Z88" s="6"/>
      <c r="AA88" s="6"/>
      <c r="AB88" s="6"/>
      <c r="AC88" s="6"/>
      <c r="AD88" s="6"/>
      <c r="AE88" s="6"/>
      <c r="AF88" s="6"/>
      <c r="AG88" s="6"/>
    </row>
    <row r="89" spans="1:33" ht="17.5" customHeight="1">
      <c r="A89" s="6"/>
      <c r="B89" s="6"/>
      <c r="C89" s="6"/>
      <c r="D89" s="6"/>
      <c r="E89" s="6"/>
      <c r="F89" s="6"/>
      <c r="G89" s="6"/>
      <c r="H89" s="6"/>
      <c r="I89" s="6"/>
      <c r="J89" s="6"/>
      <c r="K89" s="6"/>
      <c r="L89" s="6"/>
      <c r="M89" s="6"/>
      <c r="N89" s="16"/>
      <c r="O89" s="6"/>
      <c r="P89" s="6"/>
      <c r="Q89" s="6"/>
      <c r="R89" s="6"/>
      <c r="S89" s="6"/>
      <c r="T89" s="6"/>
      <c r="U89" s="6"/>
      <c r="V89" s="6"/>
      <c r="W89" s="6"/>
      <c r="X89" s="6"/>
      <c r="Y89" s="6"/>
      <c r="Z89" s="6"/>
      <c r="AA89" s="6"/>
      <c r="AB89" s="6"/>
      <c r="AC89" s="6"/>
      <c r="AD89" s="6"/>
      <c r="AE89" s="6"/>
      <c r="AF89" s="6"/>
      <c r="AG89" s="6"/>
    </row>
    <row r="90" spans="1:33" ht="17.5" customHeight="1">
      <c r="A90" s="6"/>
      <c r="B90" s="6"/>
      <c r="C90" s="6"/>
      <c r="D90" s="6"/>
      <c r="E90" s="6"/>
      <c r="F90" s="6"/>
      <c r="G90" s="6"/>
      <c r="H90" s="6"/>
      <c r="I90" s="6"/>
      <c r="J90" s="6"/>
      <c r="K90" s="6"/>
      <c r="L90" s="6"/>
      <c r="M90" s="6"/>
      <c r="N90" s="16"/>
      <c r="O90" s="6"/>
      <c r="P90" s="6"/>
      <c r="Q90" s="6"/>
      <c r="R90" s="6"/>
      <c r="S90" s="6"/>
      <c r="T90" s="6"/>
      <c r="U90" s="6"/>
      <c r="V90" s="6"/>
      <c r="W90" s="6"/>
      <c r="X90" s="6"/>
      <c r="Y90" s="6"/>
      <c r="Z90" s="6"/>
      <c r="AA90" s="6"/>
      <c r="AB90" s="6"/>
      <c r="AC90" s="6"/>
      <c r="AD90" s="6"/>
      <c r="AE90" s="6"/>
      <c r="AF90" s="6"/>
      <c r="AG90" s="6"/>
    </row>
    <row r="91" spans="1:33" ht="17.5" customHeight="1">
      <c r="A91" s="6"/>
      <c r="B91" s="6"/>
      <c r="C91" s="6"/>
      <c r="D91" s="6"/>
      <c r="E91" s="6"/>
      <c r="F91" s="6"/>
      <c r="G91" s="6"/>
      <c r="H91" s="6"/>
      <c r="I91" s="6"/>
      <c r="J91" s="6"/>
      <c r="K91" s="6"/>
      <c r="L91" s="6"/>
      <c r="M91" s="6"/>
      <c r="N91" s="16"/>
      <c r="O91" s="6"/>
      <c r="P91" s="6"/>
      <c r="Q91" s="6"/>
      <c r="R91" s="6"/>
      <c r="S91" s="6"/>
      <c r="T91" s="6"/>
      <c r="U91" s="6"/>
      <c r="V91" s="6"/>
      <c r="W91" s="6"/>
      <c r="X91" s="6"/>
      <c r="Y91" s="6"/>
      <c r="Z91" s="6"/>
      <c r="AA91" s="6"/>
      <c r="AB91" s="6"/>
      <c r="AC91" s="6"/>
      <c r="AD91" s="6"/>
      <c r="AE91" s="6"/>
      <c r="AF91" s="6"/>
      <c r="AG91" s="6"/>
    </row>
    <row r="92" spans="1:33" ht="17.5" customHeight="1">
      <c r="A92" s="6"/>
      <c r="B92" s="6"/>
      <c r="C92" s="6"/>
      <c r="D92" s="6"/>
      <c r="E92" s="6"/>
      <c r="F92" s="6"/>
      <c r="G92" s="6"/>
      <c r="H92" s="6"/>
      <c r="I92" s="6"/>
      <c r="J92" s="6"/>
      <c r="K92" s="6"/>
      <c r="L92" s="6"/>
      <c r="M92" s="6"/>
      <c r="N92" s="16"/>
      <c r="O92" s="6"/>
      <c r="P92" s="6"/>
      <c r="Q92" s="6"/>
      <c r="R92" s="6"/>
      <c r="S92" s="6"/>
      <c r="T92" s="6"/>
      <c r="U92" s="6"/>
      <c r="V92" s="6"/>
      <c r="W92" s="6"/>
      <c r="X92" s="6"/>
      <c r="Y92" s="6"/>
      <c r="Z92" s="6"/>
      <c r="AA92" s="6"/>
      <c r="AB92" s="6"/>
      <c r="AC92" s="6"/>
      <c r="AD92" s="6"/>
      <c r="AE92" s="6"/>
      <c r="AF92" s="6"/>
      <c r="AG92" s="6"/>
    </row>
    <row r="93" spans="1:33" ht="17.5" customHeight="1">
      <c r="A93" s="6"/>
      <c r="B93" s="6"/>
      <c r="C93" s="6"/>
      <c r="D93" s="6"/>
      <c r="E93" s="6"/>
      <c r="F93" s="6"/>
      <c r="G93" s="6"/>
      <c r="H93" s="6"/>
      <c r="I93" s="6"/>
      <c r="J93" s="6"/>
      <c r="K93" s="6"/>
      <c r="L93" s="6"/>
      <c r="M93" s="6"/>
      <c r="N93" s="16"/>
      <c r="O93" s="6"/>
      <c r="P93" s="6"/>
      <c r="Q93" s="6"/>
      <c r="R93" s="6"/>
      <c r="S93" s="6"/>
      <c r="T93" s="6"/>
      <c r="U93" s="6"/>
      <c r="V93" s="6"/>
      <c r="W93" s="6"/>
      <c r="X93" s="6"/>
      <c r="Y93" s="6"/>
      <c r="Z93" s="6"/>
      <c r="AA93" s="6"/>
      <c r="AB93" s="6"/>
      <c r="AC93" s="6"/>
      <c r="AD93" s="6"/>
      <c r="AE93" s="6"/>
      <c r="AF93" s="6"/>
      <c r="AG93" s="6"/>
    </row>
    <row r="94" spans="1:33" ht="17.5" customHeight="1">
      <c r="A94" s="6"/>
      <c r="B94" s="6"/>
      <c r="C94" s="6"/>
      <c r="D94" s="6"/>
      <c r="E94" s="6"/>
      <c r="F94" s="6"/>
      <c r="G94" s="6"/>
      <c r="H94" s="6"/>
      <c r="I94" s="6"/>
      <c r="J94" s="6"/>
      <c r="K94" s="6"/>
      <c r="L94" s="6"/>
      <c r="M94" s="6"/>
      <c r="N94" s="16"/>
      <c r="O94" s="6"/>
      <c r="P94" s="6"/>
      <c r="Q94" s="6"/>
      <c r="R94" s="6"/>
      <c r="S94" s="6"/>
      <c r="T94" s="6"/>
      <c r="U94" s="6"/>
      <c r="V94" s="6"/>
      <c r="W94" s="6"/>
      <c r="X94" s="6"/>
      <c r="Y94" s="6"/>
      <c r="Z94" s="6"/>
      <c r="AA94" s="6"/>
      <c r="AB94" s="6"/>
      <c r="AC94" s="6"/>
      <c r="AD94" s="6"/>
      <c r="AE94" s="6"/>
      <c r="AF94" s="6"/>
      <c r="AG94" s="6"/>
    </row>
    <row r="95" spans="1:33" ht="17.5" customHeight="1">
      <c r="A95" s="6"/>
      <c r="B95" s="6"/>
      <c r="C95" s="6"/>
      <c r="D95" s="6"/>
      <c r="E95" s="6"/>
      <c r="F95" s="6"/>
      <c r="G95" s="6"/>
      <c r="H95" s="6"/>
      <c r="I95" s="6"/>
      <c r="J95" s="6"/>
      <c r="K95" s="6"/>
      <c r="L95" s="6"/>
      <c r="M95" s="6"/>
      <c r="N95" s="16"/>
      <c r="O95" s="6"/>
      <c r="P95" s="6"/>
      <c r="Q95" s="6"/>
      <c r="R95" s="6"/>
      <c r="S95" s="6"/>
      <c r="T95" s="6"/>
      <c r="U95" s="6"/>
      <c r="V95" s="6"/>
      <c r="W95" s="6"/>
      <c r="X95" s="6"/>
      <c r="Y95" s="6"/>
      <c r="Z95" s="6"/>
      <c r="AA95" s="6"/>
      <c r="AB95" s="6"/>
      <c r="AC95" s="6"/>
      <c r="AD95" s="6"/>
      <c r="AE95" s="6"/>
      <c r="AF95" s="6"/>
      <c r="AG95" s="6"/>
    </row>
    <row r="96" spans="1:33" ht="17.5" customHeight="1">
      <c r="A96" s="6"/>
      <c r="B96" s="6"/>
      <c r="C96" s="6"/>
      <c r="D96" s="6"/>
      <c r="E96" s="6"/>
      <c r="F96" s="6"/>
      <c r="G96" s="6"/>
      <c r="H96" s="6"/>
      <c r="I96" s="6"/>
      <c r="J96" s="6"/>
      <c r="K96" s="6"/>
      <c r="L96" s="6"/>
      <c r="M96" s="6"/>
      <c r="N96" s="16"/>
      <c r="O96" s="6"/>
      <c r="P96" s="6"/>
      <c r="Q96" s="6"/>
      <c r="R96" s="6"/>
      <c r="S96" s="6"/>
      <c r="T96" s="6"/>
      <c r="U96" s="6"/>
      <c r="V96" s="6"/>
      <c r="W96" s="6"/>
      <c r="X96" s="6"/>
      <c r="Y96" s="6"/>
      <c r="Z96" s="6"/>
      <c r="AA96" s="6"/>
      <c r="AB96" s="6"/>
      <c r="AC96" s="6"/>
      <c r="AD96" s="6"/>
      <c r="AE96" s="6"/>
      <c r="AF96" s="6"/>
      <c r="AG96" s="6"/>
    </row>
    <row r="97" spans="1:33" ht="17.5" customHeight="1">
      <c r="A97" s="6"/>
      <c r="B97" s="6"/>
      <c r="C97" s="6"/>
      <c r="D97" s="6"/>
      <c r="E97" s="6"/>
      <c r="F97" s="6"/>
      <c r="G97" s="6"/>
      <c r="H97" s="6"/>
      <c r="I97" s="6"/>
      <c r="J97" s="6"/>
      <c r="K97" s="6"/>
      <c r="L97" s="6"/>
      <c r="M97" s="6"/>
      <c r="N97" s="16"/>
      <c r="O97" s="6"/>
      <c r="P97" s="6"/>
      <c r="Q97" s="6"/>
      <c r="R97" s="6"/>
      <c r="S97" s="6"/>
      <c r="T97" s="6"/>
      <c r="U97" s="6"/>
      <c r="V97" s="6"/>
      <c r="W97" s="6"/>
      <c r="X97" s="6"/>
      <c r="Y97" s="6"/>
      <c r="Z97" s="6"/>
      <c r="AA97" s="6"/>
      <c r="AB97" s="6"/>
      <c r="AC97" s="6"/>
      <c r="AD97" s="6"/>
      <c r="AE97" s="6"/>
      <c r="AF97" s="6"/>
      <c r="AG97" s="6"/>
    </row>
    <row r="98" spans="1:33" ht="17.5" customHeight="1">
      <c r="A98" s="6"/>
      <c r="B98" s="6"/>
      <c r="C98" s="6"/>
      <c r="D98" s="6"/>
      <c r="E98" s="6"/>
      <c r="F98" s="6"/>
      <c r="G98" s="6"/>
      <c r="H98" s="6"/>
      <c r="I98" s="6"/>
      <c r="J98" s="6"/>
      <c r="K98" s="6"/>
      <c r="L98" s="6"/>
      <c r="M98" s="6"/>
      <c r="N98" s="16"/>
      <c r="O98" s="6"/>
      <c r="P98" s="6"/>
      <c r="Q98" s="6"/>
      <c r="R98" s="6"/>
      <c r="S98" s="6"/>
      <c r="T98" s="6"/>
      <c r="U98" s="6"/>
      <c r="V98" s="6"/>
      <c r="W98" s="6"/>
      <c r="X98" s="6"/>
      <c r="Y98" s="6"/>
      <c r="Z98" s="6"/>
      <c r="AA98" s="6"/>
      <c r="AB98" s="6"/>
      <c r="AC98" s="6"/>
      <c r="AD98" s="6"/>
      <c r="AE98" s="6"/>
      <c r="AF98" s="6"/>
      <c r="AG98" s="6"/>
    </row>
    <row r="99" spans="1:33" ht="17.5" customHeight="1">
      <c r="A99" s="6"/>
      <c r="B99" s="6"/>
      <c r="C99" s="6"/>
      <c r="D99" s="6"/>
      <c r="E99" s="6"/>
      <c r="F99" s="6"/>
      <c r="G99" s="6"/>
      <c r="H99" s="6"/>
      <c r="I99" s="6"/>
      <c r="J99" s="6"/>
      <c r="K99" s="6"/>
      <c r="L99" s="6"/>
      <c r="M99" s="6"/>
      <c r="N99" s="16"/>
      <c r="O99" s="6"/>
      <c r="P99" s="6"/>
      <c r="Q99" s="6"/>
      <c r="R99" s="6"/>
      <c r="S99" s="6"/>
      <c r="T99" s="6"/>
      <c r="U99" s="6"/>
      <c r="V99" s="6"/>
      <c r="W99" s="6"/>
      <c r="X99" s="6"/>
      <c r="Y99" s="6"/>
      <c r="Z99" s="6"/>
      <c r="AA99" s="6"/>
      <c r="AB99" s="6"/>
      <c r="AC99" s="6"/>
      <c r="AD99" s="6"/>
      <c r="AE99" s="6"/>
      <c r="AF99" s="6"/>
      <c r="AG99" s="6"/>
    </row>
    <row r="100" spans="1:33" ht="17.5" customHeight="1">
      <c r="A100" s="6"/>
      <c r="B100" s="6"/>
      <c r="C100" s="6"/>
      <c r="D100" s="6"/>
      <c r="E100" s="6"/>
      <c r="F100" s="6"/>
      <c r="G100" s="6"/>
      <c r="H100" s="6"/>
      <c r="I100" s="6"/>
      <c r="J100" s="6"/>
      <c r="K100" s="6"/>
      <c r="L100" s="6"/>
      <c r="M100" s="6"/>
      <c r="N100" s="16"/>
      <c r="O100" s="6"/>
      <c r="P100" s="6"/>
      <c r="Q100" s="6"/>
      <c r="R100" s="6"/>
      <c r="S100" s="6"/>
      <c r="T100" s="6"/>
      <c r="U100" s="6"/>
      <c r="V100" s="6"/>
      <c r="W100" s="6"/>
      <c r="X100" s="6"/>
      <c r="Y100" s="6"/>
      <c r="Z100" s="6"/>
      <c r="AA100" s="6"/>
      <c r="AB100" s="6"/>
      <c r="AC100" s="6"/>
      <c r="AD100" s="6"/>
      <c r="AE100" s="6"/>
      <c r="AF100" s="6"/>
      <c r="AG100" s="6"/>
    </row>
    <row r="101" spans="1:33" ht="17.5" customHeight="1">
      <c r="A101" s="6"/>
      <c r="B101" s="6"/>
      <c r="C101" s="6"/>
      <c r="D101" s="6"/>
      <c r="E101" s="6"/>
      <c r="F101" s="6"/>
      <c r="G101" s="6"/>
      <c r="H101" s="6"/>
      <c r="I101" s="6"/>
      <c r="J101" s="6"/>
      <c r="K101" s="6"/>
      <c r="L101" s="6"/>
      <c r="M101" s="6"/>
      <c r="N101" s="16"/>
      <c r="O101" s="6"/>
      <c r="P101" s="6"/>
      <c r="Q101" s="6"/>
      <c r="R101" s="6"/>
      <c r="S101" s="6"/>
      <c r="T101" s="6"/>
      <c r="U101" s="6"/>
      <c r="V101" s="6"/>
      <c r="W101" s="6"/>
      <c r="X101" s="6"/>
      <c r="Y101" s="6"/>
      <c r="Z101" s="6"/>
      <c r="AA101" s="6"/>
      <c r="AB101" s="6"/>
      <c r="AC101" s="6"/>
      <c r="AD101" s="6"/>
      <c r="AE101" s="6"/>
      <c r="AF101" s="6"/>
      <c r="AG101" s="6"/>
    </row>
    <row r="102" spans="1:33" ht="17.5" customHeight="1">
      <c r="A102" s="6"/>
      <c r="B102" s="6"/>
      <c r="C102" s="6"/>
      <c r="D102" s="6"/>
      <c r="E102" s="6"/>
      <c r="F102" s="6"/>
      <c r="G102" s="6"/>
      <c r="H102" s="6"/>
      <c r="I102" s="6"/>
      <c r="J102" s="6"/>
      <c r="K102" s="6"/>
      <c r="L102" s="6"/>
      <c r="M102" s="6"/>
      <c r="N102" s="16"/>
      <c r="O102" s="6"/>
      <c r="P102" s="6"/>
      <c r="Q102" s="6"/>
      <c r="R102" s="6"/>
      <c r="S102" s="6"/>
      <c r="T102" s="6"/>
      <c r="U102" s="6"/>
      <c r="V102" s="6"/>
      <c r="W102" s="6"/>
      <c r="X102" s="6"/>
      <c r="Y102" s="6"/>
      <c r="Z102" s="6"/>
      <c r="AA102" s="6"/>
      <c r="AB102" s="6"/>
      <c r="AC102" s="6"/>
      <c r="AD102" s="6"/>
      <c r="AE102" s="6"/>
      <c r="AF102" s="6"/>
      <c r="AG102" s="6"/>
    </row>
    <row r="103" spans="1:33" ht="17.5" customHeight="1">
      <c r="A103" s="6"/>
      <c r="B103" s="6"/>
      <c r="C103" s="6"/>
      <c r="D103" s="6"/>
      <c r="E103" s="6"/>
      <c r="F103" s="6"/>
      <c r="G103" s="6"/>
      <c r="H103" s="6"/>
      <c r="I103" s="6"/>
      <c r="J103" s="6"/>
      <c r="K103" s="6"/>
      <c r="L103" s="6"/>
      <c r="M103" s="6"/>
      <c r="N103" s="16"/>
      <c r="O103" s="6"/>
      <c r="P103" s="6"/>
      <c r="Q103" s="6"/>
      <c r="R103" s="6"/>
      <c r="S103" s="6"/>
      <c r="T103" s="6"/>
      <c r="U103" s="6"/>
      <c r="V103" s="6"/>
      <c r="W103" s="6"/>
      <c r="X103" s="6"/>
      <c r="Y103" s="6"/>
      <c r="Z103" s="6"/>
      <c r="AA103" s="6"/>
      <c r="AB103" s="6"/>
      <c r="AC103" s="6"/>
      <c r="AD103" s="6"/>
      <c r="AE103" s="6"/>
      <c r="AF103" s="6"/>
      <c r="AG103" s="6"/>
    </row>
    <row r="104" spans="1:33" ht="17.5" customHeight="1">
      <c r="A104" s="6"/>
      <c r="B104" s="6"/>
      <c r="C104" s="6"/>
      <c r="D104" s="6"/>
      <c r="E104" s="6"/>
      <c r="F104" s="6"/>
      <c r="G104" s="6"/>
      <c r="H104" s="6"/>
      <c r="I104" s="6"/>
      <c r="J104" s="6"/>
      <c r="K104" s="6"/>
      <c r="L104" s="6"/>
      <c r="M104" s="6"/>
      <c r="N104" s="16"/>
      <c r="O104" s="6"/>
      <c r="P104" s="6"/>
      <c r="Q104" s="6"/>
      <c r="R104" s="6"/>
      <c r="S104" s="6"/>
      <c r="T104" s="6"/>
      <c r="U104" s="6"/>
      <c r="V104" s="6"/>
      <c r="W104" s="6"/>
      <c r="X104" s="6"/>
      <c r="Y104" s="6"/>
      <c r="Z104" s="6"/>
      <c r="AA104" s="6"/>
      <c r="AB104" s="6"/>
      <c r="AC104" s="6"/>
      <c r="AD104" s="6"/>
      <c r="AE104" s="6"/>
      <c r="AF104" s="6"/>
      <c r="AG104" s="6"/>
    </row>
    <row r="105" spans="1:33" ht="17.5" customHeight="1">
      <c r="A105" s="6"/>
      <c r="B105" s="6"/>
      <c r="C105" s="6"/>
      <c r="D105" s="6"/>
      <c r="E105" s="6"/>
      <c r="F105" s="6"/>
      <c r="G105" s="6"/>
      <c r="H105" s="6"/>
      <c r="I105" s="6"/>
      <c r="J105" s="6"/>
      <c r="K105" s="6"/>
      <c r="L105" s="6"/>
      <c r="M105" s="6"/>
      <c r="N105" s="16"/>
      <c r="O105" s="6"/>
      <c r="P105" s="6"/>
      <c r="Q105" s="6"/>
      <c r="R105" s="6"/>
      <c r="S105" s="6"/>
      <c r="T105" s="6"/>
      <c r="U105" s="6"/>
      <c r="V105" s="6"/>
      <c r="W105" s="6"/>
      <c r="X105" s="6"/>
      <c r="Y105" s="6"/>
      <c r="Z105" s="6"/>
      <c r="AA105" s="6"/>
      <c r="AB105" s="6"/>
      <c r="AC105" s="6"/>
      <c r="AD105" s="6"/>
      <c r="AE105" s="6"/>
      <c r="AF105" s="6"/>
      <c r="AG105" s="6"/>
    </row>
    <row r="106" spans="1:33" ht="17.5" customHeight="1">
      <c r="A106" s="6"/>
      <c r="B106" s="6"/>
      <c r="C106" s="6"/>
      <c r="D106" s="6"/>
      <c r="E106" s="6"/>
      <c r="F106" s="6"/>
      <c r="G106" s="6"/>
      <c r="H106" s="6"/>
      <c r="I106" s="6"/>
      <c r="J106" s="6"/>
      <c r="K106" s="6"/>
      <c r="L106" s="6"/>
      <c r="M106" s="6"/>
      <c r="N106" s="16"/>
      <c r="O106" s="6"/>
      <c r="P106" s="6"/>
      <c r="Q106" s="6"/>
      <c r="R106" s="6"/>
      <c r="S106" s="6"/>
      <c r="T106" s="6"/>
      <c r="U106" s="6"/>
      <c r="V106" s="6"/>
      <c r="W106" s="6"/>
      <c r="X106" s="6"/>
      <c r="Y106" s="6"/>
      <c r="Z106" s="6"/>
      <c r="AA106" s="6"/>
      <c r="AB106" s="6"/>
      <c r="AC106" s="6"/>
      <c r="AD106" s="6"/>
      <c r="AE106" s="6"/>
      <c r="AF106" s="6"/>
      <c r="AG106" s="6"/>
    </row>
    <row r="107" spans="1:33" ht="17.5" customHeight="1">
      <c r="A107" s="6"/>
      <c r="B107" s="6"/>
      <c r="C107" s="6"/>
      <c r="D107" s="6"/>
      <c r="E107" s="6"/>
      <c r="F107" s="6"/>
      <c r="G107" s="6"/>
      <c r="H107" s="6"/>
      <c r="I107" s="6"/>
      <c r="J107" s="6"/>
      <c r="K107" s="6"/>
      <c r="L107" s="6"/>
      <c r="M107" s="6"/>
      <c r="N107" s="16"/>
      <c r="O107" s="6"/>
      <c r="P107" s="6"/>
      <c r="Q107" s="6"/>
      <c r="R107" s="6"/>
      <c r="S107" s="6"/>
      <c r="T107" s="6"/>
      <c r="U107" s="6"/>
      <c r="V107" s="6"/>
      <c r="W107" s="6"/>
      <c r="X107" s="6"/>
      <c r="Y107" s="6"/>
      <c r="Z107" s="6"/>
      <c r="AA107" s="6"/>
      <c r="AB107" s="6"/>
      <c r="AC107" s="6"/>
      <c r="AD107" s="6"/>
      <c r="AE107" s="6"/>
      <c r="AF107" s="6"/>
      <c r="AG107" s="6"/>
    </row>
    <row r="108" spans="1:33" ht="17.5" customHeight="1">
      <c r="A108" s="6"/>
      <c r="B108" s="6"/>
      <c r="C108" s="6"/>
      <c r="D108" s="6"/>
      <c r="E108" s="6"/>
      <c r="F108" s="6"/>
      <c r="G108" s="6"/>
      <c r="H108" s="6"/>
      <c r="I108" s="6"/>
      <c r="J108" s="6"/>
      <c r="K108" s="6"/>
      <c r="L108" s="6"/>
      <c r="M108" s="6"/>
      <c r="N108" s="16"/>
      <c r="O108" s="6"/>
      <c r="P108" s="6"/>
      <c r="Q108" s="6"/>
      <c r="R108" s="6"/>
      <c r="S108" s="6"/>
      <c r="T108" s="6"/>
      <c r="U108" s="6"/>
      <c r="V108" s="6"/>
      <c r="W108" s="6"/>
      <c r="X108" s="6"/>
      <c r="Y108" s="6"/>
      <c r="Z108" s="6"/>
      <c r="AA108" s="6"/>
      <c r="AB108" s="6"/>
      <c r="AC108" s="6"/>
      <c r="AD108" s="6"/>
      <c r="AE108" s="6"/>
      <c r="AF108" s="6"/>
      <c r="AG108" s="6"/>
    </row>
    <row r="109" spans="1:33" ht="17.5" customHeight="1">
      <c r="A109" s="6"/>
      <c r="B109" s="6"/>
      <c r="C109" s="6"/>
      <c r="D109" s="6"/>
      <c r="E109" s="6"/>
      <c r="F109" s="6"/>
      <c r="G109" s="6"/>
      <c r="H109" s="6"/>
      <c r="I109" s="6"/>
      <c r="J109" s="6"/>
      <c r="K109" s="6"/>
      <c r="L109" s="6"/>
      <c r="M109" s="6"/>
      <c r="N109" s="16"/>
      <c r="O109" s="6"/>
      <c r="P109" s="6"/>
      <c r="Q109" s="6"/>
      <c r="R109" s="6"/>
      <c r="S109" s="6"/>
      <c r="T109" s="6"/>
      <c r="U109" s="6"/>
      <c r="V109" s="6"/>
      <c r="W109" s="6"/>
      <c r="X109" s="6"/>
      <c r="Y109" s="6"/>
      <c r="Z109" s="6"/>
      <c r="AA109" s="6"/>
      <c r="AB109" s="6"/>
      <c r="AC109" s="6"/>
      <c r="AD109" s="6"/>
      <c r="AE109" s="6"/>
      <c r="AF109" s="6"/>
      <c r="AG109" s="6"/>
    </row>
    <row r="110" spans="1:33" ht="17.5" customHeight="1">
      <c r="A110" s="6"/>
      <c r="B110" s="6"/>
      <c r="C110" s="6"/>
      <c r="D110" s="6"/>
      <c r="E110" s="6"/>
      <c r="F110" s="6"/>
      <c r="G110" s="6"/>
      <c r="H110" s="6"/>
      <c r="I110" s="6"/>
      <c r="J110" s="6"/>
      <c r="K110" s="6"/>
      <c r="L110" s="6"/>
      <c r="M110" s="6"/>
      <c r="N110" s="16"/>
      <c r="O110" s="6"/>
      <c r="P110" s="6"/>
      <c r="Q110" s="6"/>
      <c r="R110" s="6"/>
      <c r="S110" s="6"/>
      <c r="T110" s="6"/>
      <c r="U110" s="6"/>
      <c r="V110" s="6"/>
      <c r="W110" s="6"/>
      <c r="X110" s="6"/>
      <c r="Y110" s="6"/>
      <c r="Z110" s="6"/>
      <c r="AA110" s="6"/>
      <c r="AB110" s="6"/>
      <c r="AC110" s="6"/>
      <c r="AD110" s="6"/>
      <c r="AE110" s="6"/>
      <c r="AF110" s="6"/>
      <c r="AG110" s="6"/>
    </row>
    <row r="111" spans="1:33" ht="17.5" customHeight="1">
      <c r="A111" s="6"/>
      <c r="B111" s="6"/>
      <c r="C111" s="6"/>
      <c r="D111" s="6"/>
      <c r="E111" s="6"/>
      <c r="F111" s="6"/>
      <c r="G111" s="6"/>
      <c r="H111" s="6"/>
      <c r="I111" s="6"/>
      <c r="J111" s="6"/>
      <c r="K111" s="6"/>
      <c r="L111" s="6"/>
      <c r="M111" s="6"/>
      <c r="N111" s="16"/>
      <c r="O111" s="6"/>
      <c r="P111" s="6"/>
      <c r="Q111" s="6"/>
      <c r="R111" s="6"/>
      <c r="S111" s="6"/>
      <c r="T111" s="6"/>
      <c r="U111" s="6"/>
      <c r="V111" s="6"/>
      <c r="W111" s="6"/>
      <c r="X111" s="6"/>
      <c r="Y111" s="6"/>
      <c r="Z111" s="6"/>
      <c r="AA111" s="6"/>
      <c r="AB111" s="6"/>
      <c r="AC111" s="6"/>
      <c r="AD111" s="6"/>
      <c r="AE111" s="6"/>
      <c r="AF111" s="6"/>
      <c r="AG111" s="6"/>
    </row>
    <row r="112" spans="1:33" ht="17.5" customHeight="1">
      <c r="A112" s="6"/>
      <c r="B112" s="6"/>
      <c r="C112" s="6"/>
      <c r="D112" s="6"/>
      <c r="E112" s="6"/>
      <c r="F112" s="6"/>
      <c r="G112" s="6"/>
      <c r="H112" s="6"/>
      <c r="I112" s="6"/>
      <c r="J112" s="6"/>
      <c r="K112" s="6"/>
      <c r="L112" s="6"/>
      <c r="M112" s="6"/>
      <c r="N112" s="16"/>
      <c r="O112" s="6"/>
      <c r="P112" s="6"/>
      <c r="Q112" s="6"/>
      <c r="R112" s="6"/>
      <c r="S112" s="6"/>
      <c r="T112" s="6"/>
      <c r="U112" s="6"/>
      <c r="V112" s="6"/>
      <c r="W112" s="6"/>
      <c r="X112" s="6"/>
      <c r="Y112" s="6"/>
      <c r="Z112" s="6"/>
      <c r="AA112" s="6"/>
      <c r="AB112" s="6"/>
      <c r="AC112" s="6"/>
      <c r="AD112" s="6"/>
      <c r="AE112" s="6"/>
      <c r="AF112" s="6"/>
      <c r="AG112" s="6"/>
    </row>
    <row r="113" spans="1:33" ht="17.5" customHeight="1">
      <c r="A113" s="6"/>
      <c r="B113" s="6"/>
      <c r="C113" s="6"/>
      <c r="D113" s="6"/>
      <c r="E113" s="6"/>
      <c r="F113" s="6"/>
      <c r="G113" s="6"/>
      <c r="H113" s="6"/>
      <c r="I113" s="6"/>
      <c r="J113" s="6"/>
      <c r="K113" s="6"/>
      <c r="L113" s="6"/>
      <c r="M113" s="6"/>
      <c r="N113" s="16"/>
      <c r="O113" s="6"/>
      <c r="P113" s="6"/>
      <c r="Q113" s="6"/>
      <c r="R113" s="6"/>
      <c r="S113" s="6"/>
      <c r="T113" s="6"/>
      <c r="U113" s="6"/>
      <c r="V113" s="6"/>
      <c r="W113" s="6"/>
      <c r="X113" s="6"/>
      <c r="Y113" s="6"/>
      <c r="Z113" s="6"/>
      <c r="AA113" s="6"/>
      <c r="AB113" s="6"/>
      <c r="AC113" s="6"/>
      <c r="AD113" s="6"/>
      <c r="AE113" s="6"/>
      <c r="AF113" s="6"/>
      <c r="AG113" s="6"/>
    </row>
    <row r="114" spans="1:33" ht="17.5" customHeight="1">
      <c r="A114" s="6"/>
      <c r="B114" s="6"/>
      <c r="C114" s="6"/>
      <c r="D114" s="6"/>
      <c r="E114" s="6"/>
      <c r="F114" s="6"/>
      <c r="G114" s="6"/>
      <c r="H114" s="6"/>
      <c r="I114" s="6"/>
      <c r="J114" s="6"/>
      <c r="K114" s="6"/>
      <c r="L114" s="6"/>
      <c r="M114" s="6"/>
      <c r="N114" s="16"/>
      <c r="O114" s="6"/>
      <c r="P114" s="6"/>
      <c r="Q114" s="6"/>
      <c r="R114" s="6"/>
      <c r="S114" s="6"/>
      <c r="T114" s="6"/>
      <c r="U114" s="6"/>
      <c r="V114" s="6"/>
      <c r="W114" s="6"/>
      <c r="X114" s="6"/>
      <c r="Y114" s="6"/>
      <c r="Z114" s="6"/>
      <c r="AA114" s="6"/>
      <c r="AB114" s="6"/>
      <c r="AC114" s="6"/>
      <c r="AD114" s="6"/>
      <c r="AE114" s="6"/>
      <c r="AF114" s="6"/>
      <c r="AG114" s="6"/>
    </row>
    <row r="115" spans="1:33" ht="17.5" customHeight="1">
      <c r="A115" s="6"/>
      <c r="B115" s="6"/>
      <c r="C115" s="6"/>
      <c r="D115" s="6"/>
      <c r="E115" s="6"/>
      <c r="F115" s="6"/>
      <c r="G115" s="6"/>
      <c r="H115" s="6"/>
      <c r="I115" s="6"/>
      <c r="J115" s="6"/>
      <c r="K115" s="6"/>
      <c r="L115" s="6"/>
      <c r="M115" s="6"/>
      <c r="N115" s="16"/>
      <c r="O115" s="6"/>
      <c r="P115" s="6"/>
      <c r="Q115" s="6"/>
      <c r="R115" s="6"/>
      <c r="S115" s="6"/>
      <c r="T115" s="6"/>
      <c r="U115" s="6"/>
      <c r="V115" s="6"/>
      <c r="W115" s="6"/>
      <c r="X115" s="6"/>
      <c r="Y115" s="6"/>
      <c r="Z115" s="6"/>
      <c r="AA115" s="6"/>
      <c r="AB115" s="6"/>
      <c r="AC115" s="6"/>
      <c r="AD115" s="6"/>
      <c r="AE115" s="6"/>
      <c r="AF115" s="6"/>
      <c r="AG115" s="6"/>
    </row>
    <row r="116" spans="1:33" ht="17.5" customHeight="1">
      <c r="A116" s="6"/>
      <c r="B116" s="6"/>
      <c r="C116" s="6"/>
      <c r="D116" s="6"/>
      <c r="E116" s="6"/>
      <c r="F116" s="6"/>
      <c r="G116" s="6"/>
      <c r="H116" s="6"/>
      <c r="I116" s="6"/>
      <c r="J116" s="6"/>
      <c r="K116" s="6"/>
      <c r="L116" s="6"/>
      <c r="M116" s="6"/>
      <c r="N116" s="16"/>
      <c r="O116" s="6"/>
      <c r="P116" s="6"/>
      <c r="Q116" s="6"/>
      <c r="R116" s="6"/>
      <c r="S116" s="6"/>
      <c r="T116" s="6"/>
      <c r="U116" s="6"/>
      <c r="V116" s="6"/>
      <c r="W116" s="6"/>
      <c r="X116" s="6"/>
      <c r="Y116" s="6"/>
      <c r="Z116" s="6"/>
      <c r="AA116" s="6"/>
      <c r="AB116" s="6"/>
      <c r="AC116" s="6"/>
      <c r="AD116" s="6"/>
      <c r="AE116" s="6"/>
      <c r="AF116" s="6"/>
      <c r="AG116" s="6"/>
    </row>
    <row r="117" spans="1:33" ht="17.5" customHeight="1">
      <c r="A117" s="6"/>
      <c r="B117" s="6"/>
      <c r="C117" s="6"/>
      <c r="D117" s="6"/>
      <c r="E117" s="6"/>
      <c r="F117" s="6"/>
      <c r="G117" s="6"/>
      <c r="H117" s="6"/>
      <c r="I117" s="6"/>
      <c r="J117" s="6"/>
      <c r="K117" s="6"/>
      <c r="L117" s="6"/>
      <c r="M117" s="6"/>
      <c r="N117" s="16"/>
      <c r="O117" s="6"/>
      <c r="P117" s="6"/>
      <c r="Q117" s="6"/>
      <c r="R117" s="6"/>
      <c r="S117" s="6"/>
      <c r="T117" s="6"/>
      <c r="U117" s="6"/>
      <c r="V117" s="6"/>
      <c r="W117" s="6"/>
      <c r="X117" s="6"/>
      <c r="Y117" s="6"/>
      <c r="Z117" s="6"/>
      <c r="AA117" s="6"/>
      <c r="AB117" s="6"/>
      <c r="AC117" s="6"/>
      <c r="AD117" s="6"/>
      <c r="AE117" s="6"/>
      <c r="AF117" s="6"/>
      <c r="AG117" s="6"/>
    </row>
    <row r="118" spans="1:33" ht="17.5" customHeight="1">
      <c r="A118" s="6"/>
      <c r="B118" s="6"/>
      <c r="C118" s="6"/>
      <c r="D118" s="6"/>
      <c r="E118" s="6"/>
      <c r="F118" s="6"/>
      <c r="G118" s="6"/>
      <c r="H118" s="6"/>
      <c r="I118" s="6"/>
      <c r="J118" s="6"/>
      <c r="K118" s="6"/>
      <c r="L118" s="6"/>
      <c r="M118" s="6"/>
      <c r="N118" s="16"/>
      <c r="O118" s="6"/>
      <c r="P118" s="6"/>
      <c r="Q118" s="6"/>
      <c r="R118" s="6"/>
      <c r="S118" s="6"/>
      <c r="T118" s="6"/>
      <c r="U118" s="6"/>
      <c r="V118" s="6"/>
      <c r="W118" s="6"/>
      <c r="X118" s="6"/>
      <c r="Y118" s="6"/>
      <c r="Z118" s="6"/>
      <c r="AA118" s="6"/>
      <c r="AB118" s="6"/>
      <c r="AC118" s="6"/>
      <c r="AD118" s="6"/>
      <c r="AE118" s="6"/>
      <c r="AF118" s="6"/>
      <c r="AG118" s="6"/>
    </row>
    <row r="119" spans="1:33" ht="17.5" customHeight="1">
      <c r="A119" s="6"/>
      <c r="B119" s="6"/>
      <c r="C119" s="6"/>
      <c r="D119" s="6"/>
      <c r="E119" s="6"/>
      <c r="F119" s="6"/>
      <c r="G119" s="6"/>
      <c r="H119" s="6"/>
      <c r="I119" s="6"/>
      <c r="J119" s="6"/>
      <c r="K119" s="6"/>
      <c r="L119" s="6"/>
      <c r="M119" s="6"/>
      <c r="N119" s="16"/>
      <c r="O119" s="6"/>
      <c r="P119" s="6"/>
      <c r="Q119" s="6"/>
      <c r="R119" s="6"/>
      <c r="S119" s="6"/>
      <c r="T119" s="6"/>
      <c r="U119" s="6"/>
      <c r="V119" s="6"/>
      <c r="W119" s="6"/>
      <c r="X119" s="6"/>
      <c r="Y119" s="6"/>
      <c r="Z119" s="6"/>
      <c r="AA119" s="6"/>
      <c r="AB119" s="6"/>
      <c r="AC119" s="6"/>
      <c r="AD119" s="6"/>
      <c r="AE119" s="6"/>
      <c r="AF119" s="6"/>
      <c r="AG119" s="6"/>
    </row>
    <row r="120" spans="1:33" ht="17.5" customHeight="1">
      <c r="A120" s="6"/>
      <c r="B120" s="6"/>
      <c r="C120" s="6"/>
      <c r="D120" s="6"/>
      <c r="E120" s="6"/>
      <c r="F120" s="6"/>
      <c r="G120" s="6"/>
      <c r="H120" s="6"/>
      <c r="I120" s="6"/>
      <c r="J120" s="6"/>
      <c r="K120" s="6"/>
      <c r="L120" s="6"/>
      <c r="M120" s="6"/>
      <c r="N120" s="16"/>
      <c r="O120" s="6"/>
      <c r="P120" s="6"/>
      <c r="Q120" s="6"/>
      <c r="R120" s="6"/>
      <c r="S120" s="6"/>
      <c r="T120" s="6"/>
      <c r="U120" s="6"/>
      <c r="V120" s="6"/>
      <c r="W120" s="6"/>
      <c r="X120" s="6"/>
      <c r="Y120" s="6"/>
      <c r="Z120" s="6"/>
      <c r="AA120" s="6"/>
      <c r="AB120" s="6"/>
      <c r="AC120" s="6"/>
      <c r="AD120" s="6"/>
      <c r="AE120" s="6"/>
      <c r="AF120" s="6"/>
      <c r="AG120" s="6"/>
    </row>
    <row r="121" spans="1:33" ht="17.5" customHeight="1">
      <c r="A121" s="6"/>
      <c r="B121" s="6"/>
      <c r="C121" s="6"/>
      <c r="D121" s="6"/>
      <c r="E121" s="6"/>
      <c r="F121" s="6"/>
      <c r="G121" s="6"/>
      <c r="H121" s="6"/>
      <c r="I121" s="6"/>
      <c r="J121" s="6"/>
      <c r="K121" s="6"/>
      <c r="L121" s="6"/>
      <c r="M121" s="6"/>
      <c r="N121" s="16"/>
      <c r="O121" s="6"/>
      <c r="P121" s="6"/>
      <c r="Q121" s="6"/>
      <c r="R121" s="6"/>
      <c r="S121" s="6"/>
      <c r="T121" s="6"/>
      <c r="U121" s="6"/>
      <c r="V121" s="6"/>
      <c r="W121" s="6"/>
      <c r="X121" s="6"/>
      <c r="Y121" s="6"/>
      <c r="Z121" s="6"/>
      <c r="AA121" s="6"/>
      <c r="AB121" s="6"/>
      <c r="AC121" s="6"/>
      <c r="AD121" s="6"/>
      <c r="AE121" s="6"/>
      <c r="AF121" s="6"/>
      <c r="AG121" s="6"/>
    </row>
    <row r="122" spans="1:33" ht="17.5" customHeight="1">
      <c r="A122" s="6"/>
      <c r="B122" s="6"/>
      <c r="C122" s="6"/>
      <c r="D122" s="6"/>
      <c r="E122" s="6"/>
      <c r="F122" s="6"/>
      <c r="G122" s="6"/>
      <c r="H122" s="6"/>
      <c r="I122" s="6"/>
      <c r="J122" s="6"/>
      <c r="K122" s="6"/>
      <c r="L122" s="6"/>
      <c r="M122" s="6"/>
      <c r="N122" s="16"/>
      <c r="O122" s="6"/>
      <c r="P122" s="6"/>
      <c r="Q122" s="6"/>
      <c r="R122" s="6"/>
      <c r="S122" s="6"/>
      <c r="T122" s="6"/>
      <c r="U122" s="6"/>
      <c r="V122" s="6"/>
      <c r="W122" s="6"/>
      <c r="X122" s="6"/>
      <c r="Y122" s="6"/>
      <c r="Z122" s="6"/>
      <c r="AA122" s="6"/>
      <c r="AB122" s="6"/>
      <c r="AC122" s="6"/>
      <c r="AD122" s="6"/>
      <c r="AE122" s="6"/>
      <c r="AF122" s="6"/>
      <c r="AG122" s="6"/>
    </row>
    <row r="123" spans="1:33" ht="17.5" customHeight="1">
      <c r="A123" s="6"/>
      <c r="B123" s="6"/>
      <c r="C123" s="6"/>
      <c r="D123" s="6"/>
      <c r="E123" s="6"/>
      <c r="F123" s="6"/>
      <c r="G123" s="6"/>
      <c r="H123" s="6"/>
      <c r="I123" s="6"/>
      <c r="J123" s="6"/>
      <c r="K123" s="6"/>
      <c r="L123" s="6"/>
      <c r="M123" s="6"/>
      <c r="N123" s="16"/>
      <c r="O123" s="6"/>
      <c r="P123" s="6"/>
      <c r="Q123" s="6"/>
      <c r="R123" s="6"/>
      <c r="S123" s="6"/>
      <c r="T123" s="6"/>
      <c r="U123" s="6"/>
      <c r="V123" s="6"/>
      <c r="W123" s="6"/>
      <c r="X123" s="6"/>
      <c r="Y123" s="6"/>
      <c r="Z123" s="6"/>
      <c r="AA123" s="6"/>
      <c r="AB123" s="6"/>
      <c r="AC123" s="6"/>
      <c r="AD123" s="6"/>
      <c r="AE123" s="6"/>
      <c r="AF123" s="6"/>
      <c r="AG123" s="6"/>
    </row>
    <row r="124" spans="1:33" ht="17.5" customHeight="1">
      <c r="A124" s="6"/>
      <c r="B124" s="6"/>
      <c r="C124" s="6"/>
      <c r="D124" s="6"/>
      <c r="E124" s="6"/>
      <c r="F124" s="6"/>
      <c r="G124" s="6"/>
      <c r="H124" s="6"/>
      <c r="I124" s="6"/>
      <c r="J124" s="6"/>
      <c r="K124" s="6"/>
      <c r="L124" s="6"/>
      <c r="M124" s="6"/>
      <c r="N124" s="16"/>
      <c r="O124" s="6"/>
      <c r="P124" s="6"/>
      <c r="Q124" s="6"/>
      <c r="R124" s="6"/>
      <c r="S124" s="6"/>
      <c r="T124" s="6"/>
      <c r="U124" s="6"/>
      <c r="V124" s="6"/>
      <c r="W124" s="6"/>
      <c r="X124" s="6"/>
      <c r="Y124" s="6"/>
      <c r="Z124" s="6"/>
      <c r="AA124" s="6"/>
      <c r="AB124" s="6"/>
      <c r="AC124" s="6"/>
      <c r="AD124" s="6"/>
      <c r="AE124" s="6"/>
      <c r="AF124" s="6"/>
      <c r="AG124" s="6"/>
    </row>
    <row r="125" spans="1:33" ht="17.5" customHeight="1">
      <c r="A125" s="6"/>
      <c r="B125" s="6"/>
      <c r="C125" s="6"/>
      <c r="D125" s="6"/>
      <c r="E125" s="6"/>
      <c r="F125" s="6"/>
      <c r="G125" s="6"/>
      <c r="H125" s="6"/>
      <c r="I125" s="6"/>
      <c r="J125" s="6"/>
      <c r="K125" s="6"/>
      <c r="L125" s="6"/>
      <c r="M125" s="6"/>
      <c r="N125" s="16"/>
      <c r="O125" s="6"/>
      <c r="P125" s="6"/>
      <c r="Q125" s="6"/>
      <c r="R125" s="6"/>
      <c r="S125" s="6"/>
      <c r="T125" s="6"/>
      <c r="U125" s="6"/>
      <c r="V125" s="6"/>
      <c r="W125" s="6"/>
      <c r="X125" s="6"/>
      <c r="Y125" s="6"/>
      <c r="Z125" s="6"/>
      <c r="AA125" s="6"/>
      <c r="AB125" s="6"/>
      <c r="AC125" s="6"/>
      <c r="AD125" s="6"/>
      <c r="AE125" s="6"/>
      <c r="AF125" s="6"/>
      <c r="AG125" s="6"/>
    </row>
    <row r="126" spans="1:33" ht="17.5" customHeight="1">
      <c r="A126" s="6"/>
      <c r="B126" s="6"/>
      <c r="C126" s="6"/>
      <c r="D126" s="6"/>
      <c r="E126" s="6"/>
      <c r="F126" s="6"/>
      <c r="G126" s="6"/>
      <c r="H126" s="6"/>
      <c r="I126" s="6"/>
      <c r="J126" s="6"/>
      <c r="K126" s="6"/>
      <c r="L126" s="6"/>
      <c r="M126" s="6"/>
      <c r="N126" s="16"/>
      <c r="O126" s="6"/>
      <c r="P126" s="6"/>
      <c r="Q126" s="6"/>
      <c r="R126" s="6"/>
      <c r="S126" s="6"/>
      <c r="T126" s="6"/>
      <c r="U126" s="6"/>
      <c r="V126" s="6"/>
      <c r="W126" s="6"/>
      <c r="X126" s="6"/>
      <c r="Y126" s="6"/>
      <c r="Z126" s="6"/>
      <c r="AA126" s="6"/>
      <c r="AB126" s="6"/>
      <c r="AC126" s="6"/>
      <c r="AD126" s="6"/>
      <c r="AE126" s="6"/>
      <c r="AF126" s="6"/>
      <c r="AG126" s="6"/>
    </row>
    <row r="127" spans="1:33" ht="17.5" customHeight="1">
      <c r="A127" s="6"/>
      <c r="B127" s="6"/>
      <c r="C127" s="6"/>
      <c r="D127" s="6"/>
      <c r="E127" s="6"/>
      <c r="F127" s="6"/>
      <c r="G127" s="6"/>
      <c r="H127" s="6"/>
      <c r="I127" s="6"/>
      <c r="J127" s="6"/>
      <c r="K127" s="6"/>
      <c r="L127" s="6"/>
      <c r="M127" s="6"/>
      <c r="N127" s="16"/>
      <c r="O127" s="6"/>
      <c r="P127" s="6"/>
      <c r="Q127" s="6"/>
      <c r="R127" s="6"/>
      <c r="S127" s="6"/>
      <c r="T127" s="6"/>
      <c r="U127" s="6"/>
      <c r="V127" s="6"/>
      <c r="W127" s="6"/>
      <c r="X127" s="6"/>
      <c r="Y127" s="6"/>
      <c r="Z127" s="6"/>
      <c r="AA127" s="6"/>
      <c r="AB127" s="6"/>
      <c r="AC127" s="6"/>
      <c r="AD127" s="6"/>
      <c r="AE127" s="6"/>
      <c r="AF127" s="6"/>
      <c r="AG127" s="6"/>
    </row>
    <row r="128" spans="1:33" ht="17.5" customHeight="1">
      <c r="A128" s="6"/>
      <c r="B128" s="6"/>
      <c r="C128" s="6"/>
      <c r="D128" s="6"/>
      <c r="E128" s="6"/>
      <c r="F128" s="6"/>
      <c r="G128" s="6"/>
      <c r="H128" s="6"/>
      <c r="I128" s="6"/>
      <c r="J128" s="6"/>
      <c r="K128" s="6"/>
      <c r="L128" s="6"/>
      <c r="M128" s="6"/>
      <c r="N128" s="16"/>
      <c r="O128" s="6"/>
      <c r="P128" s="6"/>
      <c r="Q128" s="6"/>
      <c r="R128" s="6"/>
      <c r="S128" s="6"/>
      <c r="T128" s="6"/>
      <c r="U128" s="6"/>
      <c r="V128" s="6"/>
      <c r="W128" s="6"/>
      <c r="X128" s="6"/>
      <c r="Y128" s="6"/>
      <c r="Z128" s="6"/>
      <c r="AA128" s="6"/>
      <c r="AB128" s="6"/>
      <c r="AC128" s="6"/>
      <c r="AD128" s="6"/>
      <c r="AE128" s="6"/>
      <c r="AF128" s="6"/>
      <c r="AG128" s="6"/>
    </row>
    <row r="129" spans="1:33" ht="17.5" customHeight="1">
      <c r="A129" s="6"/>
      <c r="B129" s="6"/>
      <c r="C129" s="6"/>
      <c r="D129" s="6"/>
      <c r="E129" s="6"/>
      <c r="F129" s="6"/>
      <c r="G129" s="6"/>
      <c r="H129" s="6"/>
      <c r="I129" s="6"/>
      <c r="J129" s="6"/>
      <c r="K129" s="6"/>
      <c r="L129" s="6"/>
      <c r="M129" s="6"/>
      <c r="N129" s="16"/>
      <c r="O129" s="6"/>
      <c r="P129" s="6"/>
      <c r="Q129" s="6"/>
      <c r="R129" s="6"/>
      <c r="S129" s="6"/>
      <c r="T129" s="6"/>
      <c r="U129" s="6"/>
      <c r="V129" s="6"/>
      <c r="W129" s="6"/>
      <c r="X129" s="6"/>
      <c r="Y129" s="6"/>
      <c r="Z129" s="6"/>
      <c r="AA129" s="6"/>
      <c r="AB129" s="6"/>
      <c r="AC129" s="6"/>
      <c r="AD129" s="6"/>
      <c r="AE129" s="6"/>
      <c r="AF129" s="6"/>
      <c r="AG129" s="6"/>
    </row>
    <row r="130" spans="1:33" ht="17.5" customHeight="1">
      <c r="A130" s="6"/>
      <c r="B130" s="6"/>
      <c r="C130" s="6"/>
      <c r="D130" s="6"/>
      <c r="E130" s="6"/>
      <c r="F130" s="6"/>
      <c r="G130" s="6"/>
      <c r="H130" s="6"/>
      <c r="I130" s="6"/>
      <c r="J130" s="6"/>
      <c r="K130" s="6"/>
      <c r="L130" s="6"/>
      <c r="M130" s="6"/>
      <c r="N130" s="16"/>
      <c r="O130" s="6"/>
      <c r="P130" s="6"/>
      <c r="Q130" s="6"/>
      <c r="R130" s="6"/>
      <c r="S130" s="6"/>
      <c r="T130" s="6"/>
      <c r="U130" s="6"/>
      <c r="V130" s="6"/>
      <c r="W130" s="6"/>
      <c r="X130" s="6"/>
      <c r="Y130" s="6"/>
      <c r="Z130" s="6"/>
      <c r="AA130" s="6"/>
      <c r="AB130" s="6"/>
      <c r="AC130" s="6"/>
      <c r="AD130" s="6"/>
      <c r="AE130" s="6"/>
      <c r="AF130" s="6"/>
      <c r="AG130" s="6"/>
    </row>
    <row r="131" spans="1:33" ht="17.5" customHeight="1">
      <c r="A131" s="6"/>
      <c r="B131" s="6"/>
      <c r="C131" s="6"/>
      <c r="D131" s="6"/>
      <c r="E131" s="6"/>
      <c r="F131" s="6"/>
      <c r="G131" s="6"/>
      <c r="H131" s="6"/>
      <c r="I131" s="6"/>
      <c r="J131" s="6"/>
      <c r="K131" s="6"/>
      <c r="L131" s="6"/>
      <c r="M131" s="6"/>
      <c r="N131" s="16"/>
      <c r="O131" s="6"/>
      <c r="P131" s="6"/>
      <c r="Q131" s="6"/>
      <c r="R131" s="6"/>
      <c r="S131" s="6"/>
      <c r="T131" s="6"/>
      <c r="U131" s="6"/>
      <c r="V131" s="6"/>
      <c r="W131" s="6"/>
      <c r="X131" s="6"/>
      <c r="Y131" s="6"/>
      <c r="Z131" s="6"/>
      <c r="AA131" s="6"/>
      <c r="AB131" s="6"/>
      <c r="AC131" s="6"/>
      <c r="AD131" s="6"/>
      <c r="AE131" s="6"/>
      <c r="AF131" s="6"/>
      <c r="AG131" s="6"/>
    </row>
    <row r="132" spans="1:33" ht="17.5" customHeight="1">
      <c r="A132" s="6"/>
      <c r="B132" s="6"/>
      <c r="C132" s="6"/>
      <c r="D132" s="6"/>
      <c r="E132" s="6"/>
      <c r="F132" s="6"/>
      <c r="G132" s="6"/>
      <c r="H132" s="6"/>
      <c r="I132" s="6"/>
      <c r="J132" s="6"/>
      <c r="K132" s="6"/>
      <c r="L132" s="6"/>
      <c r="M132" s="6"/>
      <c r="N132" s="16"/>
      <c r="O132" s="6"/>
      <c r="P132" s="6"/>
      <c r="Q132" s="6"/>
      <c r="R132" s="6"/>
      <c r="S132" s="6"/>
      <c r="T132" s="6"/>
      <c r="U132" s="6"/>
      <c r="V132" s="6"/>
      <c r="W132" s="6"/>
      <c r="X132" s="6"/>
      <c r="Y132" s="6"/>
      <c r="Z132" s="6"/>
      <c r="AA132" s="6"/>
      <c r="AB132" s="6"/>
      <c r="AC132" s="6"/>
      <c r="AD132" s="6"/>
      <c r="AE132" s="6"/>
      <c r="AF132" s="6"/>
      <c r="AG132" s="6"/>
    </row>
    <row r="133" spans="1:33" ht="17.5" customHeight="1">
      <c r="A133" s="6"/>
      <c r="B133" s="6"/>
      <c r="C133" s="6"/>
      <c r="D133" s="6"/>
      <c r="E133" s="6"/>
      <c r="F133" s="6"/>
      <c r="G133" s="6"/>
      <c r="H133" s="6"/>
      <c r="I133" s="6"/>
      <c r="J133" s="6"/>
      <c r="K133" s="6"/>
      <c r="L133" s="6"/>
      <c r="M133" s="6"/>
      <c r="N133" s="16"/>
      <c r="O133" s="6"/>
      <c r="P133" s="6"/>
      <c r="Q133" s="6"/>
      <c r="R133" s="6"/>
      <c r="S133" s="6"/>
      <c r="T133" s="6"/>
      <c r="U133" s="6"/>
      <c r="V133" s="6"/>
      <c r="W133" s="6"/>
      <c r="X133" s="6"/>
      <c r="Y133" s="6"/>
      <c r="Z133" s="6"/>
      <c r="AA133" s="6"/>
      <c r="AB133" s="6"/>
      <c r="AC133" s="6"/>
      <c r="AD133" s="6"/>
      <c r="AE133" s="6"/>
      <c r="AF133" s="6"/>
      <c r="AG133" s="6"/>
    </row>
    <row r="134" spans="1:33" ht="17.5" customHeight="1">
      <c r="A134" s="6"/>
      <c r="B134" s="6"/>
      <c r="C134" s="6"/>
      <c r="D134" s="6"/>
      <c r="E134" s="6"/>
      <c r="F134" s="6"/>
      <c r="G134" s="6"/>
      <c r="H134" s="6"/>
      <c r="I134" s="6"/>
      <c r="J134" s="6"/>
      <c r="K134" s="6"/>
      <c r="L134" s="6"/>
      <c r="M134" s="6"/>
      <c r="N134" s="16"/>
      <c r="O134" s="6"/>
      <c r="P134" s="6"/>
      <c r="Q134" s="6"/>
      <c r="R134" s="6"/>
      <c r="S134" s="6"/>
      <c r="T134" s="6"/>
      <c r="U134" s="6"/>
      <c r="V134" s="6"/>
      <c r="W134" s="6"/>
      <c r="X134" s="6"/>
      <c r="Y134" s="6"/>
      <c r="Z134" s="6"/>
      <c r="AA134" s="6"/>
      <c r="AB134" s="6"/>
      <c r="AC134" s="6"/>
      <c r="AD134" s="6"/>
      <c r="AE134" s="6"/>
      <c r="AF134" s="6"/>
      <c r="AG134" s="6"/>
    </row>
    <row r="135" spans="1:33" ht="17.5" customHeight="1">
      <c r="A135" s="6"/>
      <c r="B135" s="6"/>
      <c r="C135" s="6"/>
      <c r="D135" s="6"/>
      <c r="E135" s="6"/>
      <c r="F135" s="6"/>
      <c r="G135" s="6"/>
      <c r="H135" s="6"/>
      <c r="I135" s="6"/>
      <c r="J135" s="6"/>
      <c r="K135" s="6"/>
      <c r="L135" s="6"/>
      <c r="M135" s="6"/>
      <c r="N135" s="16"/>
      <c r="O135" s="6"/>
      <c r="P135" s="6"/>
      <c r="Q135" s="6"/>
      <c r="R135" s="6"/>
      <c r="S135" s="6"/>
      <c r="T135" s="6"/>
      <c r="U135" s="6"/>
      <c r="V135" s="6"/>
      <c r="W135" s="6"/>
      <c r="X135" s="6"/>
      <c r="Y135" s="6"/>
      <c r="Z135" s="6"/>
      <c r="AA135" s="6"/>
      <c r="AB135" s="6"/>
      <c r="AC135" s="6"/>
      <c r="AD135" s="6"/>
      <c r="AE135" s="6"/>
      <c r="AF135" s="6"/>
      <c r="AG135" s="6"/>
    </row>
    <row r="136" spans="1:33" ht="17.5" customHeight="1">
      <c r="A136" s="6"/>
      <c r="B136" s="6"/>
      <c r="C136" s="6"/>
      <c r="D136" s="6"/>
      <c r="E136" s="6"/>
      <c r="F136" s="6"/>
      <c r="G136" s="6"/>
      <c r="H136" s="6"/>
      <c r="I136" s="6"/>
      <c r="J136" s="6"/>
      <c r="K136" s="6"/>
      <c r="L136" s="6"/>
      <c r="M136" s="6"/>
      <c r="N136" s="16"/>
      <c r="O136" s="6"/>
      <c r="P136" s="6"/>
      <c r="Q136" s="6"/>
      <c r="R136" s="6"/>
      <c r="S136" s="6"/>
      <c r="T136" s="6"/>
      <c r="U136" s="6"/>
      <c r="V136" s="6"/>
      <c r="W136" s="6"/>
      <c r="X136" s="6"/>
      <c r="Y136" s="6"/>
      <c r="Z136" s="6"/>
      <c r="AA136" s="6"/>
      <c r="AB136" s="6"/>
      <c r="AC136" s="6"/>
      <c r="AD136" s="6"/>
      <c r="AE136" s="6"/>
      <c r="AF136" s="6"/>
      <c r="AG136" s="6"/>
    </row>
    <row r="137" spans="1:33" ht="17.5" customHeight="1">
      <c r="A137" s="6"/>
      <c r="B137" s="6"/>
      <c r="C137" s="6"/>
      <c r="D137" s="6"/>
      <c r="E137" s="6"/>
      <c r="F137" s="6"/>
      <c r="G137" s="6"/>
      <c r="H137" s="6"/>
      <c r="I137" s="6"/>
      <c r="J137" s="6"/>
      <c r="K137" s="6"/>
      <c r="L137" s="6"/>
      <c r="M137" s="6"/>
      <c r="N137" s="16"/>
      <c r="O137" s="6"/>
      <c r="P137" s="6"/>
      <c r="Q137" s="6"/>
      <c r="R137" s="6"/>
      <c r="S137" s="6"/>
      <c r="T137" s="6"/>
      <c r="U137" s="6"/>
      <c r="V137" s="6"/>
      <c r="W137" s="6"/>
      <c r="X137" s="6"/>
      <c r="Y137" s="6"/>
      <c r="Z137" s="6"/>
      <c r="AA137" s="6"/>
      <c r="AB137" s="6"/>
      <c r="AC137" s="6"/>
      <c r="AD137" s="6"/>
      <c r="AE137" s="6"/>
      <c r="AF137" s="6"/>
      <c r="AG137" s="6"/>
    </row>
    <row r="138" spans="1:33" ht="17.5" customHeight="1">
      <c r="A138" s="6"/>
      <c r="B138" s="6"/>
      <c r="C138" s="6"/>
      <c r="D138" s="6"/>
      <c r="E138" s="6"/>
      <c r="F138" s="6"/>
      <c r="G138" s="6"/>
      <c r="H138" s="6"/>
      <c r="I138" s="6"/>
      <c r="J138" s="6"/>
      <c r="K138" s="6"/>
      <c r="L138" s="6"/>
      <c r="M138" s="6"/>
      <c r="N138" s="16"/>
      <c r="O138" s="6"/>
      <c r="P138" s="6"/>
      <c r="Q138" s="6"/>
      <c r="R138" s="6"/>
      <c r="S138" s="6"/>
      <c r="T138" s="6"/>
      <c r="U138" s="6"/>
      <c r="V138" s="6"/>
      <c r="W138" s="6"/>
      <c r="X138" s="6"/>
      <c r="Y138" s="6"/>
      <c r="Z138" s="6"/>
      <c r="AA138" s="6"/>
      <c r="AB138" s="6"/>
      <c r="AC138" s="6"/>
      <c r="AD138" s="6"/>
      <c r="AE138" s="6"/>
      <c r="AF138" s="6"/>
      <c r="AG138" s="6"/>
    </row>
    <row r="139" spans="1:33" ht="17.5" customHeight="1">
      <c r="A139" s="6"/>
      <c r="B139" s="6"/>
      <c r="C139" s="6"/>
      <c r="D139" s="6"/>
      <c r="E139" s="6"/>
      <c r="F139" s="6"/>
      <c r="G139" s="6"/>
      <c r="H139" s="6"/>
      <c r="I139" s="6"/>
      <c r="J139" s="6"/>
      <c r="K139" s="6"/>
      <c r="L139" s="6"/>
      <c r="M139" s="6"/>
      <c r="N139" s="16"/>
      <c r="O139" s="6"/>
      <c r="P139" s="6"/>
      <c r="Q139" s="6"/>
      <c r="R139" s="6"/>
      <c r="S139" s="6"/>
      <c r="T139" s="6"/>
      <c r="U139" s="6"/>
      <c r="V139" s="6"/>
      <c r="W139" s="6"/>
      <c r="X139" s="6"/>
      <c r="Y139" s="6"/>
      <c r="Z139" s="6"/>
      <c r="AA139" s="6"/>
      <c r="AB139" s="6"/>
      <c r="AC139" s="6"/>
      <c r="AD139" s="6"/>
      <c r="AE139" s="6"/>
      <c r="AF139" s="6"/>
      <c r="AG139" s="6"/>
    </row>
    <row r="140" spans="1:33" ht="17.5" customHeight="1">
      <c r="A140" s="6"/>
      <c r="B140" s="6"/>
      <c r="C140" s="6"/>
      <c r="D140" s="6"/>
      <c r="E140" s="6"/>
      <c r="F140" s="6"/>
      <c r="G140" s="6"/>
      <c r="H140" s="6"/>
      <c r="I140" s="6"/>
      <c r="J140" s="6"/>
      <c r="K140" s="6"/>
      <c r="L140" s="6"/>
      <c r="M140" s="6"/>
      <c r="N140" s="16"/>
      <c r="O140" s="6"/>
      <c r="P140" s="6"/>
      <c r="Q140" s="6"/>
      <c r="R140" s="6"/>
      <c r="S140" s="6"/>
      <c r="T140" s="6"/>
      <c r="U140" s="6"/>
      <c r="V140" s="6"/>
      <c r="W140" s="6"/>
      <c r="X140" s="6"/>
      <c r="Y140" s="6"/>
      <c r="Z140" s="6"/>
      <c r="AA140" s="6"/>
      <c r="AB140" s="6"/>
      <c r="AC140" s="6"/>
      <c r="AD140" s="6"/>
      <c r="AE140" s="6"/>
      <c r="AF140" s="6"/>
      <c r="AG140" s="6"/>
    </row>
    <row r="141" spans="1:33" ht="17.5" customHeight="1">
      <c r="A141" s="6"/>
      <c r="B141" s="6"/>
      <c r="C141" s="6"/>
      <c r="D141" s="6"/>
      <c r="E141" s="6"/>
      <c r="F141" s="6"/>
      <c r="G141" s="6"/>
      <c r="H141" s="6"/>
      <c r="I141" s="6"/>
      <c r="J141" s="6"/>
      <c r="K141" s="6"/>
      <c r="L141" s="6"/>
      <c r="M141" s="6"/>
      <c r="N141" s="16"/>
      <c r="O141" s="6"/>
      <c r="P141" s="6"/>
      <c r="Q141" s="6"/>
      <c r="R141" s="6"/>
      <c r="S141" s="6"/>
      <c r="T141" s="6"/>
      <c r="U141" s="6"/>
      <c r="V141" s="6"/>
      <c r="W141" s="6"/>
      <c r="X141" s="6"/>
      <c r="Y141" s="6"/>
      <c r="Z141" s="6"/>
      <c r="AA141" s="6"/>
      <c r="AB141" s="6"/>
      <c r="AC141" s="6"/>
      <c r="AD141" s="6"/>
      <c r="AE141" s="6"/>
      <c r="AF141" s="6"/>
      <c r="AG141" s="6"/>
    </row>
    <row r="142" spans="1:33" ht="17.5" customHeight="1">
      <c r="A142" s="6"/>
      <c r="B142" s="6"/>
      <c r="C142" s="6"/>
      <c r="D142" s="6"/>
      <c r="E142" s="6"/>
      <c r="F142" s="6"/>
      <c r="G142" s="6"/>
      <c r="H142" s="6"/>
      <c r="I142" s="6"/>
      <c r="J142" s="6"/>
      <c r="K142" s="6"/>
      <c r="L142" s="6"/>
      <c r="M142" s="6"/>
      <c r="N142" s="16"/>
      <c r="O142" s="6"/>
      <c r="P142" s="6"/>
      <c r="Q142" s="6"/>
      <c r="R142" s="6"/>
      <c r="S142" s="6"/>
      <c r="T142" s="6"/>
      <c r="U142" s="6"/>
      <c r="V142" s="6"/>
      <c r="W142" s="6"/>
      <c r="X142" s="6"/>
      <c r="Y142" s="6"/>
      <c r="Z142" s="6"/>
      <c r="AA142" s="6"/>
      <c r="AB142" s="6"/>
      <c r="AC142" s="6"/>
      <c r="AD142" s="6"/>
      <c r="AE142" s="6"/>
      <c r="AF142" s="6"/>
      <c r="AG142" s="6"/>
    </row>
    <row r="143" spans="1:33" ht="17.5" customHeight="1">
      <c r="A143" s="6"/>
      <c r="B143" s="6"/>
      <c r="C143" s="6"/>
      <c r="D143" s="6"/>
      <c r="E143" s="6"/>
      <c r="F143" s="6"/>
      <c r="G143" s="6"/>
      <c r="H143" s="6"/>
      <c r="I143" s="6"/>
      <c r="J143" s="6"/>
      <c r="K143" s="6"/>
      <c r="L143" s="6"/>
      <c r="M143" s="6"/>
      <c r="N143" s="16"/>
      <c r="O143" s="6"/>
      <c r="P143" s="6"/>
      <c r="Q143" s="6"/>
      <c r="R143" s="6"/>
      <c r="S143" s="6"/>
      <c r="T143" s="6"/>
      <c r="U143" s="6"/>
      <c r="V143" s="6"/>
      <c r="W143" s="6"/>
      <c r="X143" s="6"/>
      <c r="Y143" s="6"/>
      <c r="Z143" s="6"/>
      <c r="AA143" s="6"/>
      <c r="AB143" s="6"/>
      <c r="AC143" s="6"/>
      <c r="AD143" s="6"/>
      <c r="AE143" s="6"/>
      <c r="AF143" s="6"/>
      <c r="AG143" s="6"/>
    </row>
    <row r="144" spans="1:33" ht="17.5" customHeight="1">
      <c r="A144" s="6"/>
      <c r="B144" s="6"/>
      <c r="C144" s="6"/>
      <c r="D144" s="6"/>
      <c r="E144" s="6"/>
      <c r="F144" s="6"/>
      <c r="G144" s="6"/>
      <c r="H144" s="6"/>
      <c r="I144" s="6"/>
      <c r="J144" s="6"/>
      <c r="K144" s="6"/>
      <c r="L144" s="6"/>
      <c r="M144" s="6"/>
      <c r="N144" s="16"/>
      <c r="O144" s="6"/>
      <c r="P144" s="6"/>
      <c r="Q144" s="6"/>
      <c r="R144" s="6"/>
      <c r="S144" s="6"/>
      <c r="T144" s="6"/>
      <c r="U144" s="6"/>
      <c r="V144" s="6"/>
      <c r="W144" s="6"/>
      <c r="X144" s="6"/>
      <c r="Y144" s="6"/>
      <c r="Z144" s="6"/>
      <c r="AA144" s="6"/>
      <c r="AB144" s="6"/>
      <c r="AC144" s="6"/>
      <c r="AD144" s="6"/>
      <c r="AE144" s="6"/>
      <c r="AF144" s="6"/>
      <c r="AG144" s="6"/>
    </row>
    <row r="145" spans="1:33" ht="17.5" customHeight="1">
      <c r="A145" s="6"/>
      <c r="B145" s="6"/>
      <c r="C145" s="6"/>
      <c r="D145" s="6"/>
      <c r="E145" s="6"/>
      <c r="F145" s="6"/>
      <c r="G145" s="6"/>
      <c r="H145" s="6"/>
      <c r="I145" s="6"/>
      <c r="J145" s="6"/>
      <c r="K145" s="6"/>
      <c r="L145" s="6"/>
      <c r="M145" s="6"/>
      <c r="N145" s="16"/>
      <c r="O145" s="6"/>
      <c r="P145" s="6"/>
      <c r="Q145" s="6"/>
      <c r="R145" s="6"/>
      <c r="S145" s="6"/>
      <c r="T145" s="6"/>
      <c r="U145" s="6"/>
      <c r="V145" s="6"/>
      <c r="W145" s="6"/>
      <c r="X145" s="6"/>
      <c r="Y145" s="6"/>
      <c r="Z145" s="6"/>
      <c r="AA145" s="6"/>
      <c r="AB145" s="6"/>
      <c r="AC145" s="6"/>
      <c r="AD145" s="6"/>
      <c r="AE145" s="6"/>
      <c r="AF145" s="6"/>
      <c r="AG145" s="6"/>
    </row>
    <row r="146" spans="1:33" ht="17.5" customHeight="1">
      <c r="A146" s="6"/>
      <c r="B146" s="6"/>
      <c r="C146" s="6"/>
      <c r="D146" s="6"/>
      <c r="E146" s="6"/>
      <c r="F146" s="6"/>
      <c r="G146" s="6"/>
      <c r="H146" s="6"/>
      <c r="I146" s="6"/>
      <c r="J146" s="6"/>
      <c r="K146" s="6"/>
      <c r="L146" s="6"/>
      <c r="M146" s="6"/>
      <c r="N146" s="16"/>
      <c r="O146" s="6"/>
      <c r="P146" s="6"/>
      <c r="Q146" s="6"/>
      <c r="R146" s="6"/>
      <c r="S146" s="6"/>
      <c r="T146" s="6"/>
      <c r="U146" s="6"/>
      <c r="V146" s="6"/>
      <c r="W146" s="6"/>
      <c r="X146" s="6"/>
      <c r="Y146" s="6"/>
      <c r="Z146" s="6"/>
      <c r="AA146" s="6"/>
      <c r="AB146" s="6"/>
      <c r="AC146" s="6"/>
      <c r="AD146" s="6"/>
      <c r="AE146" s="6"/>
      <c r="AF146" s="6"/>
      <c r="AG146" s="6"/>
    </row>
    <row r="147" spans="1:33" ht="17.5" customHeight="1">
      <c r="A147" s="6"/>
      <c r="B147" s="6"/>
      <c r="C147" s="6"/>
      <c r="D147" s="6"/>
      <c r="E147" s="6"/>
      <c r="F147" s="6"/>
      <c r="G147" s="6"/>
      <c r="H147" s="6"/>
      <c r="I147" s="6"/>
      <c r="J147" s="6"/>
      <c r="K147" s="6"/>
      <c r="L147" s="6"/>
      <c r="M147" s="6"/>
      <c r="N147" s="16"/>
      <c r="O147" s="6"/>
      <c r="P147" s="6"/>
      <c r="Q147" s="6"/>
      <c r="R147" s="6"/>
      <c r="S147" s="6"/>
      <c r="T147" s="6"/>
      <c r="U147" s="6"/>
      <c r="V147" s="6"/>
      <c r="W147" s="6"/>
      <c r="X147" s="6"/>
      <c r="Y147" s="6"/>
      <c r="Z147" s="6"/>
      <c r="AA147" s="6"/>
      <c r="AB147" s="6"/>
      <c r="AC147" s="6"/>
      <c r="AD147" s="6"/>
      <c r="AE147" s="6"/>
      <c r="AF147" s="6"/>
      <c r="AG147" s="6"/>
    </row>
    <row r="148" spans="1:33" ht="17.5" customHeight="1">
      <c r="A148" s="6"/>
      <c r="B148" s="6"/>
      <c r="C148" s="6"/>
      <c r="D148" s="6"/>
      <c r="E148" s="6"/>
      <c r="F148" s="6"/>
      <c r="G148" s="6"/>
      <c r="H148" s="6"/>
      <c r="I148" s="6"/>
      <c r="J148" s="6"/>
      <c r="K148" s="6"/>
      <c r="L148" s="6"/>
      <c r="M148" s="6"/>
      <c r="N148" s="16"/>
      <c r="O148" s="6"/>
      <c r="P148" s="6"/>
      <c r="Q148" s="6"/>
      <c r="R148" s="6"/>
      <c r="S148" s="6"/>
      <c r="T148" s="6"/>
      <c r="U148" s="6"/>
      <c r="V148" s="6"/>
      <c r="W148" s="6"/>
      <c r="X148" s="6"/>
      <c r="Y148" s="6"/>
      <c r="Z148" s="6"/>
      <c r="AA148" s="6"/>
      <c r="AB148" s="6"/>
      <c r="AC148" s="6"/>
      <c r="AD148" s="6"/>
      <c r="AE148" s="6"/>
      <c r="AF148" s="6"/>
      <c r="AG148" s="6"/>
    </row>
    <row r="149" spans="1:33" ht="17.5" customHeight="1">
      <c r="A149" s="6"/>
      <c r="B149" s="6"/>
      <c r="C149" s="6"/>
      <c r="D149" s="6"/>
      <c r="E149" s="6"/>
      <c r="F149" s="6"/>
      <c r="G149" s="6"/>
      <c r="H149" s="6"/>
      <c r="I149" s="6"/>
      <c r="J149" s="6"/>
      <c r="K149" s="6"/>
      <c r="L149" s="6"/>
      <c r="M149" s="6"/>
      <c r="N149" s="16"/>
      <c r="O149" s="6"/>
      <c r="P149" s="6"/>
      <c r="Q149" s="6"/>
      <c r="R149" s="6"/>
      <c r="S149" s="6"/>
      <c r="T149" s="6"/>
      <c r="U149" s="6"/>
      <c r="V149" s="6"/>
      <c r="W149" s="6"/>
      <c r="X149" s="6"/>
      <c r="Y149" s="6"/>
      <c r="Z149" s="6"/>
      <c r="AA149" s="6"/>
      <c r="AB149" s="6"/>
      <c r="AC149" s="6"/>
      <c r="AD149" s="6"/>
      <c r="AE149" s="6"/>
      <c r="AF149" s="6"/>
      <c r="AG149" s="6"/>
    </row>
    <row r="150" spans="1:33" ht="17.5" customHeight="1">
      <c r="A150" s="6"/>
      <c r="B150" s="6"/>
      <c r="C150" s="6"/>
      <c r="D150" s="6"/>
      <c r="E150" s="6"/>
      <c r="F150" s="6"/>
      <c r="G150" s="6"/>
      <c r="H150" s="6"/>
      <c r="I150" s="6"/>
      <c r="J150" s="6"/>
      <c r="K150" s="6"/>
      <c r="L150" s="6"/>
      <c r="M150" s="6"/>
      <c r="N150" s="16"/>
      <c r="O150" s="6"/>
      <c r="P150" s="6"/>
      <c r="Q150" s="6"/>
      <c r="R150" s="6"/>
      <c r="S150" s="6"/>
      <c r="T150" s="6"/>
      <c r="U150" s="6"/>
      <c r="V150" s="6"/>
      <c r="W150" s="6"/>
      <c r="X150" s="6"/>
      <c r="Y150" s="6"/>
      <c r="Z150" s="6"/>
      <c r="AA150" s="6"/>
      <c r="AB150" s="6"/>
      <c r="AC150" s="6"/>
      <c r="AD150" s="6"/>
      <c r="AE150" s="6"/>
      <c r="AF150" s="6"/>
      <c r="AG150" s="6"/>
    </row>
    <row r="151" spans="1:33" ht="17.5" customHeight="1">
      <c r="A151" s="6"/>
      <c r="B151" s="6"/>
      <c r="C151" s="6"/>
      <c r="D151" s="6"/>
      <c r="E151" s="6"/>
      <c r="F151" s="6"/>
      <c r="G151" s="6"/>
      <c r="H151" s="6"/>
      <c r="I151" s="6"/>
      <c r="J151" s="6"/>
      <c r="K151" s="6"/>
      <c r="L151" s="6"/>
      <c r="M151" s="6"/>
      <c r="N151" s="16"/>
      <c r="O151" s="6"/>
      <c r="P151" s="6"/>
      <c r="Q151" s="6"/>
      <c r="R151" s="6"/>
      <c r="S151" s="6"/>
      <c r="T151" s="6"/>
      <c r="U151" s="6"/>
      <c r="V151" s="6"/>
      <c r="W151" s="6"/>
      <c r="X151" s="6"/>
      <c r="Y151" s="6"/>
      <c r="Z151" s="6"/>
      <c r="AA151" s="6"/>
      <c r="AB151" s="6"/>
      <c r="AC151" s="6"/>
      <c r="AD151" s="6"/>
      <c r="AE151" s="6"/>
      <c r="AF151" s="6"/>
      <c r="AG151" s="6"/>
    </row>
    <row r="152" spans="1:33" ht="17.5" customHeight="1">
      <c r="A152" s="6"/>
      <c r="B152" s="6"/>
      <c r="C152" s="6"/>
      <c r="D152" s="6"/>
      <c r="E152" s="6"/>
      <c r="F152" s="6"/>
      <c r="G152" s="6"/>
      <c r="H152" s="6"/>
      <c r="I152" s="6"/>
      <c r="J152" s="6"/>
      <c r="K152" s="6"/>
      <c r="L152" s="6"/>
      <c r="M152" s="6"/>
      <c r="N152" s="16"/>
      <c r="O152" s="6"/>
      <c r="P152" s="6"/>
      <c r="Q152" s="6"/>
      <c r="R152" s="6"/>
      <c r="S152" s="6"/>
      <c r="T152" s="6"/>
      <c r="U152" s="6"/>
      <c r="V152" s="6"/>
      <c r="W152" s="6"/>
      <c r="X152" s="6"/>
      <c r="Y152" s="6"/>
      <c r="Z152" s="6"/>
      <c r="AA152" s="6"/>
      <c r="AB152" s="6"/>
      <c r="AC152" s="6"/>
      <c r="AD152" s="6"/>
      <c r="AE152" s="6"/>
      <c r="AF152" s="6"/>
      <c r="AG152" s="6"/>
    </row>
    <row r="153" spans="1:33" ht="17.5" customHeight="1">
      <c r="A153" s="6"/>
      <c r="B153" s="6"/>
      <c r="C153" s="6"/>
      <c r="D153" s="6"/>
      <c r="E153" s="6"/>
      <c r="F153" s="6"/>
      <c r="G153" s="6"/>
      <c r="H153" s="6"/>
      <c r="I153" s="6"/>
      <c r="J153" s="6"/>
      <c r="K153" s="6"/>
      <c r="L153" s="6"/>
      <c r="M153" s="6"/>
      <c r="N153" s="16"/>
      <c r="O153" s="6"/>
      <c r="P153" s="6"/>
      <c r="Q153" s="6"/>
      <c r="R153" s="6"/>
      <c r="S153" s="6"/>
      <c r="T153" s="6"/>
      <c r="U153" s="6"/>
      <c r="V153" s="6"/>
      <c r="W153" s="6"/>
      <c r="X153" s="6"/>
      <c r="Y153" s="6"/>
      <c r="Z153" s="6"/>
      <c r="AA153" s="6"/>
      <c r="AB153" s="6"/>
      <c r="AC153" s="6"/>
      <c r="AD153" s="6"/>
      <c r="AE153" s="6"/>
      <c r="AF153" s="6"/>
      <c r="AG153" s="6"/>
    </row>
    <row r="154" spans="1:33" ht="17.5" customHeight="1">
      <c r="A154" s="6"/>
      <c r="B154" s="6"/>
      <c r="C154" s="6"/>
      <c r="D154" s="6"/>
      <c r="E154" s="6"/>
      <c r="F154" s="6"/>
      <c r="G154" s="6"/>
      <c r="H154" s="6"/>
      <c r="I154" s="6"/>
      <c r="J154" s="6"/>
      <c r="K154" s="6"/>
      <c r="L154" s="6"/>
      <c r="M154" s="6"/>
      <c r="N154" s="16"/>
      <c r="O154" s="6"/>
      <c r="P154" s="6"/>
      <c r="Q154" s="6"/>
      <c r="R154" s="6"/>
      <c r="S154" s="6"/>
      <c r="T154" s="6"/>
      <c r="U154" s="6"/>
      <c r="V154" s="6"/>
      <c r="W154" s="6"/>
      <c r="X154" s="6"/>
      <c r="Y154" s="6"/>
      <c r="Z154" s="6"/>
      <c r="AA154" s="6"/>
      <c r="AB154" s="6"/>
      <c r="AC154" s="6"/>
      <c r="AD154" s="6"/>
      <c r="AE154" s="6"/>
      <c r="AF154" s="6"/>
      <c r="AG154" s="6"/>
    </row>
    <row r="155" spans="1:33" ht="17.5" customHeight="1">
      <c r="A155" s="6"/>
      <c r="B155" s="6"/>
      <c r="C155" s="6"/>
      <c r="D155" s="6"/>
      <c r="E155" s="6"/>
      <c r="F155" s="6"/>
      <c r="G155" s="6"/>
      <c r="H155" s="6"/>
      <c r="I155" s="6"/>
      <c r="J155" s="6"/>
      <c r="K155" s="6"/>
      <c r="L155" s="6"/>
      <c r="M155" s="6"/>
      <c r="N155" s="16"/>
      <c r="O155" s="6"/>
      <c r="P155" s="6"/>
      <c r="Q155" s="6"/>
      <c r="R155" s="6"/>
      <c r="S155" s="6"/>
      <c r="T155" s="6"/>
      <c r="U155" s="6"/>
      <c r="V155" s="6"/>
      <c r="W155" s="6"/>
      <c r="X155" s="6"/>
      <c r="Y155" s="6"/>
      <c r="Z155" s="6"/>
      <c r="AA155" s="6"/>
      <c r="AB155" s="6"/>
      <c r="AC155" s="6"/>
      <c r="AD155" s="6"/>
      <c r="AE155" s="6"/>
      <c r="AF155" s="6"/>
      <c r="AG155" s="6"/>
    </row>
    <row r="156" spans="1:33" ht="17.5" customHeight="1">
      <c r="A156" s="6"/>
      <c r="B156" s="6"/>
      <c r="C156" s="6"/>
      <c r="D156" s="6"/>
      <c r="E156" s="6"/>
      <c r="F156" s="6"/>
      <c r="G156" s="6"/>
      <c r="H156" s="6"/>
      <c r="I156" s="6"/>
      <c r="J156" s="6"/>
      <c r="K156" s="6"/>
      <c r="L156" s="6"/>
      <c r="M156" s="6"/>
      <c r="N156" s="16"/>
      <c r="O156" s="6"/>
      <c r="P156" s="6"/>
      <c r="Q156" s="6"/>
      <c r="R156" s="6"/>
      <c r="S156" s="6"/>
      <c r="T156" s="6"/>
      <c r="U156" s="6"/>
      <c r="V156" s="6"/>
      <c r="W156" s="6"/>
      <c r="X156" s="6"/>
      <c r="Y156" s="6"/>
      <c r="Z156" s="6"/>
      <c r="AA156" s="6"/>
      <c r="AB156" s="6"/>
      <c r="AC156" s="6"/>
      <c r="AD156" s="6"/>
      <c r="AE156" s="6"/>
      <c r="AF156" s="6"/>
      <c r="AG156" s="6"/>
    </row>
    <row r="157" spans="1:33" ht="17.5" customHeight="1">
      <c r="A157" s="6"/>
      <c r="B157" s="6"/>
      <c r="C157" s="6"/>
      <c r="D157" s="6"/>
      <c r="E157" s="6"/>
      <c r="F157" s="6"/>
      <c r="G157" s="6"/>
      <c r="H157" s="6"/>
      <c r="I157" s="6"/>
      <c r="J157" s="6"/>
      <c r="K157" s="6"/>
      <c r="L157" s="6"/>
      <c r="M157" s="6"/>
      <c r="N157" s="16"/>
      <c r="O157" s="6"/>
      <c r="P157" s="6"/>
      <c r="Q157" s="6"/>
      <c r="R157" s="6"/>
      <c r="S157" s="6"/>
      <c r="T157" s="6"/>
      <c r="U157" s="6"/>
      <c r="V157" s="6"/>
      <c r="W157" s="6"/>
      <c r="X157" s="6"/>
      <c r="Y157" s="6"/>
      <c r="Z157" s="6"/>
      <c r="AA157" s="6"/>
      <c r="AB157" s="6"/>
      <c r="AC157" s="6"/>
      <c r="AD157" s="6"/>
      <c r="AE157" s="6"/>
      <c r="AF157" s="6"/>
      <c r="AG157" s="6"/>
    </row>
    <row r="158" spans="1:33" ht="17.5" customHeight="1">
      <c r="A158" s="6"/>
      <c r="B158" s="6"/>
      <c r="C158" s="6"/>
      <c r="D158" s="6"/>
      <c r="E158" s="6"/>
      <c r="F158" s="6"/>
      <c r="G158" s="6"/>
      <c r="H158" s="6"/>
      <c r="I158" s="6"/>
      <c r="J158" s="6"/>
      <c r="K158" s="6"/>
      <c r="L158" s="6"/>
      <c r="M158" s="6"/>
      <c r="N158" s="16"/>
      <c r="O158" s="6"/>
      <c r="P158" s="6"/>
      <c r="Q158" s="6"/>
      <c r="R158" s="6"/>
      <c r="S158" s="6"/>
      <c r="T158" s="6"/>
      <c r="U158" s="6"/>
      <c r="V158" s="6"/>
      <c r="W158" s="6"/>
      <c r="X158" s="6"/>
      <c r="Y158" s="6"/>
      <c r="Z158" s="6"/>
      <c r="AA158" s="6"/>
      <c r="AB158" s="6"/>
      <c r="AC158" s="6"/>
      <c r="AD158" s="6"/>
      <c r="AE158" s="6"/>
      <c r="AF158" s="6"/>
      <c r="AG158" s="6"/>
    </row>
    <row r="159" spans="1:33" ht="17.5" customHeight="1">
      <c r="A159" s="6"/>
      <c r="B159" s="6"/>
      <c r="C159" s="6"/>
      <c r="D159" s="6"/>
      <c r="E159" s="6"/>
      <c r="F159" s="6"/>
      <c r="G159" s="6"/>
      <c r="H159" s="6"/>
      <c r="I159" s="6"/>
      <c r="J159" s="6"/>
      <c r="K159" s="6"/>
      <c r="L159" s="6"/>
      <c r="M159" s="6"/>
      <c r="N159" s="16"/>
      <c r="O159" s="6"/>
      <c r="P159" s="6"/>
      <c r="Q159" s="6"/>
      <c r="R159" s="6"/>
      <c r="S159" s="6"/>
      <c r="T159" s="6"/>
      <c r="U159" s="6"/>
      <c r="V159" s="6"/>
      <c r="W159" s="6"/>
      <c r="X159" s="6"/>
      <c r="Y159" s="6"/>
      <c r="Z159" s="6"/>
      <c r="AA159" s="6"/>
      <c r="AB159" s="6"/>
      <c r="AC159" s="6"/>
      <c r="AD159" s="6"/>
      <c r="AE159" s="6"/>
      <c r="AF159" s="6"/>
      <c r="AG159" s="6"/>
    </row>
    <row r="160" spans="1:33" ht="17.5" customHeight="1">
      <c r="A160" s="6"/>
      <c r="B160" s="6"/>
      <c r="C160" s="6"/>
      <c r="D160" s="6"/>
      <c r="E160" s="6"/>
      <c r="F160" s="6"/>
      <c r="G160" s="6"/>
      <c r="H160" s="6"/>
      <c r="I160" s="6"/>
      <c r="J160" s="6"/>
      <c r="K160" s="6"/>
      <c r="L160" s="6"/>
      <c r="M160" s="6"/>
      <c r="N160" s="16"/>
      <c r="O160" s="6"/>
      <c r="P160" s="6"/>
      <c r="Q160" s="6"/>
      <c r="R160" s="6"/>
      <c r="S160" s="6"/>
      <c r="T160" s="6"/>
      <c r="U160" s="6"/>
      <c r="V160" s="6"/>
      <c r="W160" s="6"/>
      <c r="X160" s="6"/>
      <c r="Y160" s="6"/>
      <c r="Z160" s="6"/>
      <c r="AA160" s="6"/>
      <c r="AB160" s="6"/>
      <c r="AC160" s="6"/>
      <c r="AD160" s="6"/>
      <c r="AE160" s="6"/>
      <c r="AF160" s="6"/>
      <c r="AG160" s="6"/>
    </row>
    <row r="161" spans="1:33" ht="17.5" customHeight="1">
      <c r="A161" s="6"/>
      <c r="B161" s="6"/>
      <c r="C161" s="6"/>
      <c r="D161" s="6"/>
      <c r="E161" s="6"/>
      <c r="F161" s="6"/>
      <c r="G161" s="6"/>
      <c r="H161" s="6"/>
      <c r="I161" s="6"/>
      <c r="J161" s="6"/>
      <c r="K161" s="6"/>
      <c r="L161" s="6"/>
      <c r="M161" s="6"/>
      <c r="N161" s="16"/>
      <c r="O161" s="6"/>
      <c r="P161" s="6"/>
      <c r="Q161" s="6"/>
      <c r="R161" s="6"/>
      <c r="S161" s="6"/>
      <c r="T161" s="6"/>
      <c r="U161" s="6"/>
      <c r="V161" s="6"/>
      <c r="W161" s="6"/>
      <c r="X161" s="6"/>
      <c r="Y161" s="6"/>
      <c r="Z161" s="6"/>
      <c r="AA161" s="6"/>
      <c r="AB161" s="6"/>
      <c r="AC161" s="6"/>
      <c r="AD161" s="6"/>
      <c r="AE161" s="6"/>
      <c r="AF161" s="6"/>
      <c r="AG161" s="6"/>
    </row>
    <row r="162" spans="1:33" ht="13.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ht="13.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row>
    <row r="164" spans="1:33" ht="13.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ht="13.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row>
    <row r="166" spans="1:33" ht="13.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row>
    <row r="167" spans="1:33" ht="13.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row>
    <row r="168" spans="1:33" ht="13.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row>
    <row r="169" spans="1:33" ht="13.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row>
    <row r="170" spans="1:33" ht="13.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row>
    <row r="171" spans="1:33" ht="13.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row>
    <row r="172" spans="1:33" ht="13.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row>
    <row r="173" spans="1:33" ht="13.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row>
    <row r="174" spans="1:33" ht="13.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row>
    <row r="175" spans="1:33" ht="13.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row>
    <row r="176" spans="1:33" ht="13.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row>
    <row r="177" spans="1:33" ht="13.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row>
    <row r="178" spans="1:33" ht="13.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row>
    <row r="179" spans="1:33" ht="13.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row>
    <row r="180" spans="1:33" ht="13.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row>
    <row r="181" spans="1:33" ht="13.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row>
    <row r="182" spans="1:33" ht="13.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row>
    <row r="183" spans="1:33" ht="17.5" customHeight="1">
      <c r="A183" s="6"/>
      <c r="B183" s="6"/>
      <c r="C183" s="6"/>
      <c r="D183" s="6"/>
      <c r="E183" s="6"/>
      <c r="F183" s="6"/>
      <c r="G183" s="6"/>
      <c r="H183" s="6"/>
      <c r="I183" s="6"/>
      <c r="J183" s="6"/>
      <c r="K183" s="6"/>
      <c r="L183" s="6"/>
      <c r="M183" s="6"/>
      <c r="N183" s="16"/>
      <c r="O183" s="6"/>
      <c r="P183" s="6"/>
      <c r="Q183" s="6"/>
      <c r="R183" s="6"/>
      <c r="S183" s="6"/>
      <c r="T183" s="6"/>
      <c r="U183" s="6"/>
      <c r="V183" s="6"/>
      <c r="W183" s="6"/>
      <c r="X183" s="6"/>
      <c r="Y183" s="6"/>
      <c r="Z183" s="6"/>
      <c r="AA183" s="6"/>
      <c r="AB183" s="6"/>
      <c r="AC183" s="6"/>
      <c r="AD183" s="6"/>
      <c r="AE183" s="6"/>
      <c r="AF183" s="6"/>
      <c r="AG183" s="6"/>
    </row>
  </sheetData>
  <pageMargins left="0.75" right="0.75" top="1" bottom="1" header="0.5" footer="0.5"/>
  <pageSetup scale="65" orientation="landscape"/>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56"/>
  <sheetViews>
    <sheetView showGridLines="0" workbookViewId="0"/>
  </sheetViews>
  <sheetFormatPr baseColWidth="10" defaultColWidth="8.83203125" defaultRowHeight="16" customHeight="1"/>
  <cols>
    <col min="1" max="1" width="8.83203125" style="4" customWidth="1"/>
    <col min="2" max="2" width="8.1640625" style="4" customWidth="1"/>
    <col min="3" max="3" width="3.1640625" style="4" customWidth="1"/>
    <col min="4" max="4" width="6.6640625" style="4" customWidth="1"/>
    <col min="5" max="5" width="3.5" style="4" customWidth="1"/>
    <col min="6" max="6" width="7.5" style="4" customWidth="1"/>
    <col min="7" max="7" width="3.83203125" style="4" customWidth="1"/>
    <col min="8" max="8" width="7.5" style="4" customWidth="1"/>
    <col min="9" max="9" width="3" style="4" customWidth="1"/>
    <col min="10" max="10" width="8" style="4" customWidth="1"/>
    <col min="11" max="11" width="3" style="4" customWidth="1"/>
    <col min="12" max="12" width="8.83203125" style="4" customWidth="1"/>
    <col min="13" max="13" width="3.1640625" style="4" customWidth="1"/>
    <col min="14" max="14" width="8.83203125" style="4" customWidth="1"/>
    <col min="15" max="15" width="8" style="4" customWidth="1"/>
    <col min="16" max="16" width="5.5" style="4" customWidth="1"/>
    <col min="17" max="17" width="7.1640625" style="4" customWidth="1"/>
    <col min="18" max="18" width="3.83203125" style="4" customWidth="1"/>
    <col min="19" max="19" width="8.83203125" style="4" customWidth="1"/>
    <col min="20" max="20" width="8.83203125" style="4" hidden="1" customWidth="1"/>
    <col min="21" max="21" width="2.83203125" style="4" customWidth="1"/>
    <col min="22" max="22" width="8" style="4" customWidth="1"/>
    <col min="23" max="23" width="4.83203125" style="4" customWidth="1"/>
    <col min="24" max="24" width="8" style="4" customWidth="1"/>
    <col min="25" max="25" width="4.5" style="4" customWidth="1"/>
    <col min="26" max="26" width="9.1640625" style="4" customWidth="1"/>
    <col min="27" max="27" width="3.1640625" style="4" customWidth="1"/>
    <col min="28" max="31" width="8.83203125" style="4" customWidth="1"/>
    <col min="32" max="16384" width="8.83203125" style="4"/>
  </cols>
  <sheetData>
    <row r="1" spans="1:30" ht="17.5" customHeight="1">
      <c r="A1" s="8" t="s">
        <v>361</v>
      </c>
      <c r="B1" s="6"/>
      <c r="C1" s="6"/>
      <c r="D1" s="6"/>
      <c r="E1" s="6"/>
      <c r="F1" s="6"/>
      <c r="G1" s="6"/>
      <c r="H1" s="6"/>
      <c r="I1" s="6"/>
      <c r="J1" s="6"/>
      <c r="K1" s="6"/>
      <c r="L1" s="6"/>
      <c r="M1" s="6"/>
      <c r="N1" s="6"/>
      <c r="O1" s="6"/>
      <c r="P1" s="6"/>
      <c r="Q1" s="6"/>
      <c r="R1" s="6"/>
      <c r="S1" s="6"/>
      <c r="T1" s="6"/>
      <c r="U1" s="6"/>
      <c r="V1" s="6"/>
      <c r="W1" s="6"/>
      <c r="X1" s="25"/>
      <c r="Y1" s="6"/>
      <c r="Z1" s="6"/>
      <c r="AA1" s="6"/>
      <c r="AB1" s="6"/>
      <c r="AC1" s="6"/>
      <c r="AD1" s="6"/>
    </row>
    <row r="2" spans="1:30" ht="17.5" customHeight="1">
      <c r="A2" s="8" t="s">
        <v>362</v>
      </c>
      <c r="B2" s="6"/>
      <c r="C2" s="6"/>
      <c r="D2" s="6"/>
      <c r="E2" s="6"/>
      <c r="F2" s="6"/>
      <c r="G2" s="6"/>
      <c r="H2" s="6"/>
      <c r="I2" s="6"/>
      <c r="J2" s="6"/>
      <c r="K2" s="6"/>
      <c r="L2" s="6"/>
      <c r="M2" s="6"/>
      <c r="N2" s="6"/>
      <c r="O2" s="6"/>
      <c r="P2" s="6"/>
      <c r="Q2" s="6"/>
      <c r="R2" s="6"/>
      <c r="S2" s="6"/>
      <c r="T2" s="6"/>
      <c r="U2" s="6"/>
      <c r="V2" s="6"/>
      <c r="W2" s="6"/>
      <c r="X2" s="25"/>
      <c r="Y2" s="6"/>
      <c r="Z2" s="6"/>
      <c r="AA2" s="6"/>
      <c r="AB2" s="6"/>
      <c r="AC2" s="6"/>
      <c r="AD2" s="6"/>
    </row>
    <row r="3" spans="1:30" ht="17.5" customHeight="1">
      <c r="A3" s="8" t="s">
        <v>303</v>
      </c>
      <c r="B3" s="6"/>
      <c r="C3" s="6"/>
      <c r="D3" s="6"/>
      <c r="E3" s="6"/>
      <c r="F3" s="6"/>
      <c r="G3" s="6"/>
      <c r="H3" s="6"/>
      <c r="I3" s="6"/>
      <c r="J3" s="6"/>
      <c r="K3" s="6"/>
      <c r="L3" s="6"/>
      <c r="M3" s="6"/>
      <c r="N3" s="6"/>
      <c r="O3" s="6"/>
      <c r="P3" s="6"/>
      <c r="Q3" s="6"/>
      <c r="R3" s="6"/>
      <c r="S3" s="6"/>
      <c r="T3" s="6"/>
      <c r="U3" s="6"/>
      <c r="V3" s="6"/>
      <c r="W3" s="6"/>
      <c r="X3" s="25"/>
      <c r="Y3" s="6"/>
      <c r="Z3" s="6"/>
      <c r="AA3" s="6"/>
      <c r="AB3" s="6"/>
      <c r="AC3" s="6"/>
      <c r="AD3" s="6"/>
    </row>
    <row r="4" spans="1:30" ht="17.5" customHeight="1">
      <c r="A4" s="8" t="s">
        <v>363</v>
      </c>
      <c r="B4" s="6"/>
      <c r="C4" s="6"/>
      <c r="D4" s="6"/>
      <c r="E4" s="6"/>
      <c r="F4" s="6"/>
      <c r="G4" s="6"/>
      <c r="H4" s="6"/>
      <c r="I4" s="6"/>
      <c r="J4" s="6"/>
      <c r="K4" s="6"/>
      <c r="L4" s="6"/>
      <c r="M4" s="6"/>
      <c r="N4" s="6"/>
      <c r="O4" s="6"/>
      <c r="P4" s="6"/>
      <c r="Q4" s="6"/>
      <c r="R4" s="6"/>
      <c r="S4" s="6"/>
      <c r="T4" s="6"/>
      <c r="U4" s="6"/>
      <c r="V4" s="6"/>
      <c r="W4" s="6"/>
      <c r="X4" s="25"/>
      <c r="Y4" s="6"/>
      <c r="Z4" s="6"/>
      <c r="AA4" s="6"/>
      <c r="AB4" s="6"/>
      <c r="AC4" s="6"/>
      <c r="AD4" s="6"/>
    </row>
    <row r="5" spans="1:30" ht="17.5" customHeight="1">
      <c r="A5" s="6"/>
      <c r="B5" s="6"/>
      <c r="C5" s="6"/>
      <c r="D5" s="6"/>
      <c r="E5" s="6"/>
      <c r="F5" s="6"/>
      <c r="G5" s="6"/>
      <c r="H5" s="6"/>
      <c r="I5" s="6"/>
      <c r="J5" s="6"/>
      <c r="K5" s="6"/>
      <c r="L5" s="6"/>
      <c r="M5" s="6"/>
      <c r="N5" s="16"/>
      <c r="O5" s="6"/>
      <c r="P5" s="6"/>
      <c r="Q5" s="6"/>
      <c r="R5" s="6"/>
      <c r="S5" s="6"/>
      <c r="T5" s="6"/>
      <c r="U5" s="6"/>
      <c r="V5" s="6"/>
      <c r="W5" s="6"/>
      <c r="X5" s="25"/>
      <c r="Y5" s="6"/>
      <c r="Z5" s="6"/>
      <c r="AA5" s="6"/>
      <c r="AB5" s="6"/>
      <c r="AC5" s="6"/>
      <c r="AD5" s="6"/>
    </row>
    <row r="6" spans="1:30" ht="17.5" customHeight="1">
      <c r="A6" s="6"/>
      <c r="B6" s="74" t="s">
        <v>335</v>
      </c>
      <c r="C6" s="16"/>
      <c r="D6" s="6"/>
      <c r="E6" s="6"/>
      <c r="F6" s="6"/>
      <c r="G6" s="6"/>
      <c r="H6" s="6"/>
      <c r="I6" s="6"/>
      <c r="J6" s="6"/>
      <c r="K6" s="6"/>
      <c r="L6" s="6"/>
      <c r="M6" s="6"/>
      <c r="N6" s="16"/>
      <c r="O6" s="74" t="s">
        <v>336</v>
      </c>
      <c r="P6" s="16"/>
      <c r="Q6" s="6"/>
      <c r="R6" s="6"/>
      <c r="S6" s="6"/>
      <c r="T6" s="6"/>
      <c r="U6" s="6"/>
      <c r="V6" s="6"/>
      <c r="W6" s="6"/>
      <c r="X6" s="25"/>
      <c r="Y6" s="6"/>
      <c r="Z6" s="74" t="s">
        <v>337</v>
      </c>
      <c r="AA6" s="6"/>
      <c r="AB6" s="74" t="s">
        <v>338</v>
      </c>
      <c r="AC6" s="74" t="s">
        <v>337</v>
      </c>
      <c r="AD6" s="6"/>
    </row>
    <row r="7" spans="1:30" ht="17.5" customHeight="1">
      <c r="A7" s="6"/>
      <c r="B7" s="16"/>
      <c r="C7" s="16"/>
      <c r="D7" s="6"/>
      <c r="E7" s="6"/>
      <c r="F7" s="6"/>
      <c r="G7" s="6"/>
      <c r="H7" s="6"/>
      <c r="I7" s="6"/>
      <c r="J7" s="6"/>
      <c r="K7" s="6"/>
      <c r="L7" s="6"/>
      <c r="M7" s="6"/>
      <c r="N7" s="16"/>
      <c r="O7" s="6"/>
      <c r="P7" s="6"/>
      <c r="Q7" s="6"/>
      <c r="R7" s="6"/>
      <c r="S7" s="6"/>
      <c r="T7" s="6"/>
      <c r="U7" s="6"/>
      <c r="V7" s="6"/>
      <c r="W7" s="6"/>
      <c r="X7" s="25"/>
      <c r="Y7" s="6"/>
      <c r="Z7" s="74" t="s">
        <v>339</v>
      </c>
      <c r="AA7" s="6"/>
      <c r="AB7" s="74" t="s">
        <v>340</v>
      </c>
      <c r="AC7" s="74" t="s">
        <v>339</v>
      </c>
      <c r="AD7" s="6"/>
    </row>
    <row r="8" spans="1:30" ht="17.5" customHeight="1">
      <c r="A8" s="6"/>
      <c r="B8" s="6"/>
      <c r="C8" s="6"/>
      <c r="D8" s="6"/>
      <c r="E8" s="6"/>
      <c r="F8" s="6"/>
      <c r="G8" s="6"/>
      <c r="H8" s="6"/>
      <c r="I8" s="6"/>
      <c r="J8" s="6"/>
      <c r="K8" s="6"/>
      <c r="L8" s="6"/>
      <c r="M8" s="6"/>
      <c r="N8" s="6"/>
      <c r="O8" s="8" t="s">
        <v>341</v>
      </c>
      <c r="P8" s="6"/>
      <c r="Q8" s="8" t="s">
        <v>337</v>
      </c>
      <c r="R8" s="6"/>
      <c r="S8" s="35" t="s">
        <v>344</v>
      </c>
      <c r="T8" s="6"/>
      <c r="U8" s="6"/>
      <c r="V8" s="8" t="s">
        <v>343</v>
      </c>
      <c r="W8" s="6"/>
      <c r="X8" s="8" t="s">
        <v>344</v>
      </c>
      <c r="Y8" s="6"/>
      <c r="Z8" s="8" t="s">
        <v>345</v>
      </c>
      <c r="AA8" s="6"/>
      <c r="AB8" s="6"/>
      <c r="AC8" s="8" t="s">
        <v>345</v>
      </c>
      <c r="AD8" s="6"/>
    </row>
    <row r="9" spans="1:30" ht="17.5" customHeight="1">
      <c r="A9" s="6"/>
      <c r="B9" s="8" t="s">
        <v>292</v>
      </c>
      <c r="C9" s="6"/>
      <c r="D9" s="8" t="s">
        <v>346</v>
      </c>
      <c r="E9" s="6"/>
      <c r="F9" s="8" t="s">
        <v>294</v>
      </c>
      <c r="G9" s="6"/>
      <c r="H9" s="8" t="s">
        <v>344</v>
      </c>
      <c r="I9" s="6"/>
      <c r="J9" s="8" t="s">
        <v>295</v>
      </c>
      <c r="K9" s="6"/>
      <c r="L9" s="8" t="s">
        <v>344</v>
      </c>
      <c r="M9" s="6"/>
      <c r="N9" s="6"/>
      <c r="O9" s="8" t="s">
        <v>347</v>
      </c>
      <c r="P9" s="6"/>
      <c r="Q9" s="8" t="s">
        <v>364</v>
      </c>
      <c r="R9" s="6"/>
      <c r="S9" s="6"/>
      <c r="T9" s="6"/>
      <c r="U9" s="6"/>
      <c r="V9" s="8" t="s">
        <v>365</v>
      </c>
      <c r="W9" s="6"/>
      <c r="X9" s="8" t="s">
        <v>349</v>
      </c>
      <c r="Y9" s="6"/>
      <c r="Z9" s="8" t="s">
        <v>350</v>
      </c>
      <c r="AA9" s="6"/>
      <c r="AB9" s="6"/>
      <c r="AC9" s="8" t="s">
        <v>351</v>
      </c>
      <c r="AD9" s="6"/>
    </row>
    <row r="10" spans="1:30" ht="17" customHeight="1">
      <c r="A10" s="8" t="s">
        <v>95</v>
      </c>
      <c r="B10" s="75"/>
      <c r="C10" s="75"/>
      <c r="D10" s="76" t="s">
        <v>294</v>
      </c>
      <c r="E10" s="75"/>
      <c r="F10" s="75"/>
      <c r="G10" s="75"/>
      <c r="H10" s="76" t="s">
        <v>352</v>
      </c>
      <c r="I10" s="75"/>
      <c r="J10" s="75"/>
      <c r="K10" s="75"/>
      <c r="L10" s="76" t="s">
        <v>353</v>
      </c>
      <c r="M10" s="75"/>
      <c r="N10" s="6"/>
      <c r="O10" s="76" t="s">
        <v>294</v>
      </c>
      <c r="P10" s="75"/>
      <c r="Q10" s="76" t="s">
        <v>136</v>
      </c>
      <c r="R10" s="75"/>
      <c r="S10" s="75"/>
      <c r="T10" s="76" t="s">
        <v>324</v>
      </c>
      <c r="U10" s="75"/>
      <c r="V10" s="76" t="s">
        <v>357</v>
      </c>
      <c r="W10" s="75"/>
      <c r="X10" s="76" t="s">
        <v>358</v>
      </c>
      <c r="Y10" s="6"/>
      <c r="Z10" s="76" t="s">
        <v>359</v>
      </c>
      <c r="AA10" s="6"/>
      <c r="AB10" s="75"/>
      <c r="AC10" s="76" t="s">
        <v>359</v>
      </c>
      <c r="AD10" s="6"/>
    </row>
    <row r="11" spans="1:30" ht="17" customHeight="1">
      <c r="A11" s="6"/>
      <c r="B11" s="79"/>
      <c r="C11" s="79"/>
      <c r="D11" s="79"/>
      <c r="E11" s="79"/>
      <c r="F11" s="79"/>
      <c r="G11" s="79"/>
      <c r="H11" s="79"/>
      <c r="I11" s="79"/>
      <c r="J11" s="79"/>
      <c r="K11" s="79"/>
      <c r="L11" s="79"/>
      <c r="M11" s="79"/>
      <c r="N11" s="16"/>
      <c r="O11" s="79"/>
      <c r="P11" s="79"/>
      <c r="Q11" s="79"/>
      <c r="R11" s="79"/>
      <c r="S11" s="79"/>
      <c r="T11" s="79"/>
      <c r="U11" s="79"/>
      <c r="V11" s="79"/>
      <c r="W11" s="79"/>
      <c r="X11" s="80"/>
      <c r="Y11" s="17"/>
      <c r="Z11" s="79"/>
      <c r="AA11" s="6"/>
      <c r="AB11" s="77"/>
      <c r="AC11" s="79"/>
      <c r="AD11" s="6"/>
    </row>
    <row r="12" spans="1:30" ht="17.5" customHeight="1">
      <c r="A12" s="22">
        <v>1869</v>
      </c>
      <c r="B12" s="22">
        <v>3319</v>
      </c>
      <c r="C12" s="25"/>
      <c r="D12" s="22">
        <v>940</v>
      </c>
      <c r="E12" s="25"/>
      <c r="F12" s="22">
        <v>401</v>
      </c>
      <c r="G12" s="25"/>
      <c r="H12" s="25">
        <f t="shared" ref="H12:H52" si="0">B12+D12+F12</f>
        <v>4660</v>
      </c>
      <c r="I12" s="25"/>
      <c r="J12" s="22">
        <v>1499</v>
      </c>
      <c r="K12" s="25"/>
      <c r="L12" s="25">
        <f t="shared" ref="L12:L52" si="1">H12+J12</f>
        <v>6159</v>
      </c>
      <c r="M12" s="25"/>
      <c r="N12" s="78"/>
      <c r="O12" s="22">
        <v>359</v>
      </c>
      <c r="P12" s="25"/>
      <c r="Q12" s="22">
        <v>1064</v>
      </c>
      <c r="R12" s="25"/>
      <c r="S12" s="22">
        <f t="shared" ref="S12:S52" si="2">Q12+O12</f>
        <v>1423</v>
      </c>
      <c r="T12" s="17">
        <f t="shared" ref="T12:T52" si="3">O12+S12</f>
        <v>1782</v>
      </c>
      <c r="U12" s="17"/>
      <c r="V12" s="22">
        <v>-187</v>
      </c>
      <c r="W12" s="25"/>
      <c r="X12" s="25">
        <f t="shared" ref="X12:X52" si="4">S12+V12</f>
        <v>1236</v>
      </c>
      <c r="Y12" s="17"/>
      <c r="Z12" s="25">
        <f t="shared" ref="Z12:Z52" si="5">L12+X12</f>
        <v>7395</v>
      </c>
      <c r="AA12" s="6"/>
      <c r="AB12" s="6"/>
      <c r="AC12" s="17"/>
      <c r="AD12" s="6"/>
    </row>
    <row r="13" spans="1:30" ht="17.5" customHeight="1">
      <c r="A13" s="22">
        <f t="shared" ref="A13:A52" si="6">A12+1</f>
        <v>1870</v>
      </c>
      <c r="B13" s="22">
        <v>3036</v>
      </c>
      <c r="C13" s="25"/>
      <c r="D13" s="22">
        <v>992</v>
      </c>
      <c r="E13" s="25"/>
      <c r="F13" s="22">
        <v>398</v>
      </c>
      <c r="G13" s="25"/>
      <c r="H13" s="25">
        <f t="shared" si="0"/>
        <v>4426</v>
      </c>
      <c r="I13" s="25"/>
      <c r="J13" s="22">
        <v>1427</v>
      </c>
      <c r="K13" s="25"/>
      <c r="L13" s="25">
        <f t="shared" si="1"/>
        <v>5853</v>
      </c>
      <c r="M13" s="25"/>
      <c r="N13" s="78"/>
      <c r="O13" s="22">
        <v>334</v>
      </c>
      <c r="P13" s="25"/>
      <c r="Q13" s="22">
        <v>1103</v>
      </c>
      <c r="R13" s="25"/>
      <c r="S13" s="22">
        <f t="shared" si="2"/>
        <v>1437</v>
      </c>
      <c r="T13" s="17">
        <f t="shared" si="3"/>
        <v>1771</v>
      </c>
      <c r="U13" s="17"/>
      <c r="V13" s="22">
        <v>-149</v>
      </c>
      <c r="W13" s="25"/>
      <c r="X13" s="25">
        <f t="shared" si="4"/>
        <v>1288</v>
      </c>
      <c r="Y13" s="17"/>
      <c r="Z13" s="25">
        <f t="shared" si="5"/>
        <v>7141</v>
      </c>
      <c r="AA13" s="6"/>
      <c r="AB13" s="22">
        <v>232</v>
      </c>
      <c r="AC13" s="17">
        <f t="shared" ref="AC13:AC52" si="7">Z13+AB13</f>
        <v>7373</v>
      </c>
      <c r="AD13" s="6"/>
    </row>
    <row r="14" spans="1:30" ht="17.5" customHeight="1">
      <c r="A14" s="22">
        <f t="shared" si="6"/>
        <v>1871</v>
      </c>
      <c r="B14" s="22">
        <v>3029</v>
      </c>
      <c r="C14" s="25"/>
      <c r="D14" s="22">
        <v>1090</v>
      </c>
      <c r="E14" s="25"/>
      <c r="F14" s="22">
        <v>417</v>
      </c>
      <c r="G14" s="25"/>
      <c r="H14" s="25">
        <f t="shared" si="0"/>
        <v>4536</v>
      </c>
      <c r="I14" s="25"/>
      <c r="J14" s="22">
        <v>1466</v>
      </c>
      <c r="K14" s="25"/>
      <c r="L14" s="25">
        <f t="shared" si="1"/>
        <v>6002</v>
      </c>
      <c r="M14" s="25"/>
      <c r="N14" s="78"/>
      <c r="O14" s="22">
        <v>322</v>
      </c>
      <c r="P14" s="25"/>
      <c r="Q14" s="22">
        <v>1003</v>
      </c>
      <c r="R14" s="25"/>
      <c r="S14" s="22">
        <f t="shared" si="2"/>
        <v>1325</v>
      </c>
      <c r="T14" s="17">
        <f t="shared" si="3"/>
        <v>1647</v>
      </c>
      <c r="U14" s="17"/>
      <c r="V14" s="22">
        <v>-192</v>
      </c>
      <c r="W14" s="25"/>
      <c r="X14" s="25">
        <f t="shared" si="4"/>
        <v>1133</v>
      </c>
      <c r="Y14" s="17"/>
      <c r="Z14" s="25">
        <f t="shared" si="5"/>
        <v>7135</v>
      </c>
      <c r="AA14" s="6"/>
      <c r="AB14" s="22">
        <v>186</v>
      </c>
      <c r="AC14" s="17">
        <f t="shared" si="7"/>
        <v>7321</v>
      </c>
      <c r="AD14" s="6"/>
    </row>
    <row r="15" spans="1:30" ht="17.5" customHeight="1">
      <c r="A15" s="22">
        <f t="shared" si="6"/>
        <v>1872</v>
      </c>
      <c r="B15" s="22">
        <v>3111</v>
      </c>
      <c r="C15" s="25"/>
      <c r="D15" s="22">
        <v>1251</v>
      </c>
      <c r="E15" s="25"/>
      <c r="F15" s="22">
        <v>537</v>
      </c>
      <c r="G15" s="25"/>
      <c r="H15" s="25">
        <f t="shared" si="0"/>
        <v>4899</v>
      </c>
      <c r="I15" s="25"/>
      <c r="J15" s="22">
        <v>1587</v>
      </c>
      <c r="K15" s="25"/>
      <c r="L15" s="25">
        <f t="shared" si="1"/>
        <v>6486</v>
      </c>
      <c r="M15" s="25"/>
      <c r="N15" s="78"/>
      <c r="O15" s="22">
        <v>520</v>
      </c>
      <c r="P15" s="25"/>
      <c r="Q15" s="22">
        <v>1409</v>
      </c>
      <c r="R15" s="25"/>
      <c r="S15" s="22">
        <f t="shared" si="2"/>
        <v>1929</v>
      </c>
      <c r="T15" s="17">
        <f t="shared" si="3"/>
        <v>2449</v>
      </c>
      <c r="U15" s="17"/>
      <c r="V15" s="22">
        <v>-252</v>
      </c>
      <c r="W15" s="25"/>
      <c r="X15" s="25">
        <f t="shared" si="4"/>
        <v>1677</v>
      </c>
      <c r="Y15" s="17"/>
      <c r="Z15" s="25">
        <f t="shared" si="5"/>
        <v>8163</v>
      </c>
      <c r="AA15" s="6"/>
      <c r="AB15" s="22">
        <v>269</v>
      </c>
      <c r="AC15" s="17">
        <f t="shared" si="7"/>
        <v>8432</v>
      </c>
      <c r="AD15" s="6"/>
    </row>
    <row r="16" spans="1:30" ht="17.5" customHeight="1">
      <c r="A16" s="22">
        <f t="shared" si="6"/>
        <v>1873</v>
      </c>
      <c r="B16" s="22">
        <v>3321</v>
      </c>
      <c r="C16" s="25"/>
      <c r="D16" s="22">
        <v>1126</v>
      </c>
      <c r="E16" s="25"/>
      <c r="F16" s="22">
        <v>506</v>
      </c>
      <c r="G16" s="25"/>
      <c r="H16" s="25">
        <f t="shared" si="0"/>
        <v>4953</v>
      </c>
      <c r="I16" s="25"/>
      <c r="J16" s="22">
        <v>1608</v>
      </c>
      <c r="K16" s="25"/>
      <c r="L16" s="25">
        <f t="shared" si="1"/>
        <v>6561</v>
      </c>
      <c r="M16" s="25"/>
      <c r="N16" s="78"/>
      <c r="O16" s="22">
        <v>566</v>
      </c>
      <c r="P16" s="25"/>
      <c r="Q16" s="22">
        <v>1314</v>
      </c>
      <c r="R16" s="25"/>
      <c r="S16" s="22">
        <f t="shared" si="2"/>
        <v>1880</v>
      </c>
      <c r="T16" s="17">
        <f t="shared" si="3"/>
        <v>2446</v>
      </c>
      <c r="U16" s="17"/>
      <c r="V16" s="22">
        <v>-108</v>
      </c>
      <c r="W16" s="25"/>
      <c r="X16" s="25">
        <f t="shared" si="4"/>
        <v>1772</v>
      </c>
      <c r="Y16" s="17"/>
      <c r="Z16" s="25">
        <f t="shared" si="5"/>
        <v>8333</v>
      </c>
      <c r="AA16" s="6"/>
      <c r="AB16" s="22">
        <v>52</v>
      </c>
      <c r="AC16" s="17">
        <f t="shared" si="7"/>
        <v>8385</v>
      </c>
      <c r="AD16" s="6"/>
    </row>
    <row r="17" spans="1:30" ht="17.5" customHeight="1">
      <c r="A17" s="22">
        <f t="shared" si="6"/>
        <v>1874</v>
      </c>
      <c r="B17" s="22">
        <v>3570</v>
      </c>
      <c r="C17" s="25"/>
      <c r="D17" s="22">
        <v>1063</v>
      </c>
      <c r="E17" s="25"/>
      <c r="F17" s="22">
        <v>459</v>
      </c>
      <c r="G17" s="25"/>
      <c r="H17" s="25">
        <f t="shared" si="0"/>
        <v>5092</v>
      </c>
      <c r="I17" s="25"/>
      <c r="J17" s="22">
        <v>1656</v>
      </c>
      <c r="K17" s="25"/>
      <c r="L17" s="25">
        <f t="shared" si="1"/>
        <v>6748</v>
      </c>
      <c r="M17" s="25"/>
      <c r="N17" s="78"/>
      <c r="O17" s="22">
        <v>404</v>
      </c>
      <c r="P17" s="25"/>
      <c r="Q17" s="22">
        <v>1028</v>
      </c>
      <c r="R17" s="25"/>
      <c r="S17" s="22">
        <f t="shared" si="2"/>
        <v>1432</v>
      </c>
      <c r="T17" s="17">
        <f t="shared" si="3"/>
        <v>1836</v>
      </c>
      <c r="U17" s="17"/>
      <c r="V17" s="22">
        <v>-107</v>
      </c>
      <c r="W17" s="25"/>
      <c r="X17" s="25">
        <f t="shared" si="4"/>
        <v>1325</v>
      </c>
      <c r="Y17" s="17"/>
      <c r="Z17" s="25">
        <f t="shared" si="5"/>
        <v>8073</v>
      </c>
      <c r="AA17" s="6"/>
      <c r="AB17" s="22">
        <v>-180</v>
      </c>
      <c r="AC17" s="17">
        <f t="shared" si="7"/>
        <v>7893</v>
      </c>
      <c r="AD17" s="6"/>
    </row>
    <row r="18" spans="1:30" ht="17.5" customHeight="1">
      <c r="A18" s="22">
        <f t="shared" si="6"/>
        <v>1875</v>
      </c>
      <c r="B18" s="22">
        <v>3430</v>
      </c>
      <c r="C18" s="25"/>
      <c r="D18" s="22">
        <v>1124</v>
      </c>
      <c r="E18" s="25"/>
      <c r="F18" s="22">
        <v>471</v>
      </c>
      <c r="G18" s="25"/>
      <c r="H18" s="25">
        <f t="shared" si="0"/>
        <v>5025</v>
      </c>
      <c r="I18" s="25"/>
      <c r="J18" s="22">
        <v>1686</v>
      </c>
      <c r="K18" s="25"/>
      <c r="L18" s="25">
        <f t="shared" si="1"/>
        <v>6711</v>
      </c>
      <c r="M18" s="25"/>
      <c r="N18" s="78"/>
      <c r="O18" s="22">
        <v>354</v>
      </c>
      <c r="P18" s="25"/>
      <c r="Q18" s="22">
        <v>1004</v>
      </c>
      <c r="R18" s="25"/>
      <c r="S18" s="22">
        <f t="shared" si="2"/>
        <v>1358</v>
      </c>
      <c r="T18" s="17">
        <f t="shared" si="3"/>
        <v>1712</v>
      </c>
      <c r="U18" s="17"/>
      <c r="V18" s="22">
        <v>-105</v>
      </c>
      <c r="W18" s="25"/>
      <c r="X18" s="25">
        <f t="shared" si="4"/>
        <v>1253</v>
      </c>
      <c r="Y18" s="17"/>
      <c r="Z18" s="25">
        <f t="shared" si="5"/>
        <v>7964</v>
      </c>
      <c r="AA18" s="6"/>
      <c r="AB18" s="22">
        <v>-117</v>
      </c>
      <c r="AC18" s="17">
        <f t="shared" si="7"/>
        <v>7847</v>
      </c>
      <c r="AD18" s="6"/>
    </row>
    <row r="19" spans="1:30" ht="17.5" customHeight="1">
      <c r="A19" s="22">
        <f t="shared" si="6"/>
        <v>1876</v>
      </c>
      <c r="B19" s="22">
        <v>3495</v>
      </c>
      <c r="C19" s="25"/>
      <c r="D19" s="22">
        <v>1053</v>
      </c>
      <c r="E19" s="25"/>
      <c r="F19" s="22">
        <v>440</v>
      </c>
      <c r="G19" s="25"/>
      <c r="H19" s="25">
        <f t="shared" si="0"/>
        <v>4988</v>
      </c>
      <c r="I19" s="25"/>
      <c r="J19" s="22">
        <v>1753</v>
      </c>
      <c r="K19" s="25"/>
      <c r="L19" s="25">
        <f t="shared" si="1"/>
        <v>6741</v>
      </c>
      <c r="M19" s="25"/>
      <c r="N19" s="78"/>
      <c r="O19" s="22">
        <v>359</v>
      </c>
      <c r="P19" s="25"/>
      <c r="Q19" s="22">
        <v>946</v>
      </c>
      <c r="R19" s="25"/>
      <c r="S19" s="22">
        <f t="shared" si="2"/>
        <v>1305</v>
      </c>
      <c r="T19" s="17">
        <f t="shared" si="3"/>
        <v>1664</v>
      </c>
      <c r="U19" s="17"/>
      <c r="V19" s="22">
        <v>19</v>
      </c>
      <c r="W19" s="25"/>
      <c r="X19" s="25">
        <f t="shared" si="4"/>
        <v>1324</v>
      </c>
      <c r="Y19" s="17"/>
      <c r="Z19" s="25">
        <f t="shared" si="5"/>
        <v>8065</v>
      </c>
      <c r="AA19" s="6"/>
      <c r="AB19" s="22">
        <v>-164</v>
      </c>
      <c r="AC19" s="17">
        <f t="shared" si="7"/>
        <v>7901</v>
      </c>
      <c r="AD19" s="6"/>
    </row>
    <row r="20" spans="1:30" ht="17.5" customHeight="1">
      <c r="A20" s="22">
        <f t="shared" si="6"/>
        <v>1877</v>
      </c>
      <c r="B20" s="22">
        <v>3634</v>
      </c>
      <c r="C20" s="25"/>
      <c r="D20" s="22">
        <v>1123</v>
      </c>
      <c r="E20" s="25"/>
      <c r="F20" s="22">
        <v>444</v>
      </c>
      <c r="G20" s="25"/>
      <c r="H20" s="25">
        <f t="shared" si="0"/>
        <v>5201</v>
      </c>
      <c r="I20" s="25"/>
      <c r="J20" s="22">
        <v>1845</v>
      </c>
      <c r="K20" s="25"/>
      <c r="L20" s="25">
        <f t="shared" si="1"/>
        <v>7046</v>
      </c>
      <c r="M20" s="25"/>
      <c r="N20" s="78"/>
      <c r="O20" s="22">
        <v>334</v>
      </c>
      <c r="P20" s="25"/>
      <c r="Q20" s="22">
        <v>896</v>
      </c>
      <c r="R20" s="25"/>
      <c r="S20" s="22">
        <f t="shared" si="2"/>
        <v>1230</v>
      </c>
      <c r="T20" s="17">
        <f t="shared" si="3"/>
        <v>1564</v>
      </c>
      <c r="U20" s="17"/>
      <c r="V20" s="22">
        <v>3</v>
      </c>
      <c r="W20" s="25"/>
      <c r="X20" s="25">
        <f t="shared" si="4"/>
        <v>1233</v>
      </c>
      <c r="Y20" s="17"/>
      <c r="Z20" s="25">
        <f t="shared" si="5"/>
        <v>8279</v>
      </c>
      <c r="AA20" s="6"/>
      <c r="AB20" s="22">
        <v>202</v>
      </c>
      <c r="AC20" s="17">
        <f t="shared" si="7"/>
        <v>8481</v>
      </c>
      <c r="AD20" s="6"/>
    </row>
    <row r="21" spans="1:30" ht="17.5" customHeight="1">
      <c r="A21" s="22">
        <f t="shared" si="6"/>
        <v>1878</v>
      </c>
      <c r="B21" s="22">
        <v>3486</v>
      </c>
      <c r="C21" s="25"/>
      <c r="D21" s="22">
        <v>1047</v>
      </c>
      <c r="E21" s="25"/>
      <c r="F21" s="22">
        <v>418</v>
      </c>
      <c r="G21" s="25"/>
      <c r="H21" s="25">
        <f t="shared" si="0"/>
        <v>4951</v>
      </c>
      <c r="I21" s="25"/>
      <c r="J21" s="22">
        <v>1884</v>
      </c>
      <c r="K21" s="25"/>
      <c r="L21" s="25">
        <f t="shared" si="1"/>
        <v>6835</v>
      </c>
      <c r="M21" s="25"/>
      <c r="N21" s="78"/>
      <c r="O21" s="22">
        <v>356</v>
      </c>
      <c r="P21" s="25"/>
      <c r="Q21" s="22">
        <v>920</v>
      </c>
      <c r="R21" s="25"/>
      <c r="S21" s="22">
        <f t="shared" si="2"/>
        <v>1276</v>
      </c>
      <c r="T21" s="17">
        <f t="shared" si="3"/>
        <v>1632</v>
      </c>
      <c r="U21" s="17"/>
      <c r="V21" s="22">
        <v>133</v>
      </c>
      <c r="W21" s="25"/>
      <c r="X21" s="25">
        <f t="shared" si="4"/>
        <v>1409</v>
      </c>
      <c r="Y21" s="17"/>
      <c r="Z21" s="25">
        <f t="shared" si="5"/>
        <v>8244</v>
      </c>
      <c r="AA21" s="6"/>
      <c r="AB21" s="22">
        <v>-150</v>
      </c>
      <c r="AC21" s="17">
        <f t="shared" si="7"/>
        <v>8094</v>
      </c>
      <c r="AD21" s="6"/>
    </row>
    <row r="22" spans="1:30" ht="17.5" customHeight="1">
      <c r="A22" s="22">
        <f t="shared" si="6"/>
        <v>1879</v>
      </c>
      <c r="B22" s="22">
        <v>3571</v>
      </c>
      <c r="C22" s="25"/>
      <c r="D22" s="22">
        <v>1188</v>
      </c>
      <c r="E22" s="25"/>
      <c r="F22" s="22">
        <v>460</v>
      </c>
      <c r="G22" s="25"/>
      <c r="H22" s="25">
        <f t="shared" si="0"/>
        <v>5219</v>
      </c>
      <c r="I22" s="25"/>
      <c r="J22" s="22">
        <v>2046</v>
      </c>
      <c r="K22" s="25"/>
      <c r="L22" s="25">
        <f t="shared" si="1"/>
        <v>7265</v>
      </c>
      <c r="M22" s="25"/>
      <c r="N22" s="78"/>
      <c r="O22" s="22">
        <v>395</v>
      </c>
      <c r="P22" s="25"/>
      <c r="Q22" s="22">
        <v>953</v>
      </c>
      <c r="R22" s="25"/>
      <c r="S22" s="22">
        <f t="shared" si="2"/>
        <v>1348</v>
      </c>
      <c r="T22" s="17">
        <f t="shared" si="3"/>
        <v>1743</v>
      </c>
      <c r="U22" s="17"/>
      <c r="V22" s="22">
        <v>88</v>
      </c>
      <c r="W22" s="25"/>
      <c r="X22" s="25">
        <f t="shared" si="4"/>
        <v>1436</v>
      </c>
      <c r="Y22" s="17"/>
      <c r="Z22" s="25">
        <f t="shared" si="5"/>
        <v>8701</v>
      </c>
      <c r="AA22" s="6"/>
      <c r="AB22" s="22">
        <v>304</v>
      </c>
      <c r="AC22" s="17">
        <f t="shared" si="7"/>
        <v>9005</v>
      </c>
      <c r="AD22" s="17"/>
    </row>
    <row r="23" spans="1:30" ht="17.5" customHeight="1">
      <c r="A23" s="22">
        <f t="shared" si="6"/>
        <v>1880</v>
      </c>
      <c r="B23" s="22">
        <v>4543</v>
      </c>
      <c r="C23" s="25"/>
      <c r="D23" s="22">
        <v>1623</v>
      </c>
      <c r="E23" s="25"/>
      <c r="F23" s="22">
        <v>606</v>
      </c>
      <c r="G23" s="25"/>
      <c r="H23" s="25">
        <f t="shared" si="0"/>
        <v>6772</v>
      </c>
      <c r="I23" s="25"/>
      <c r="J23" s="22">
        <v>2310</v>
      </c>
      <c r="K23" s="25"/>
      <c r="L23" s="25">
        <f t="shared" si="1"/>
        <v>9082</v>
      </c>
      <c r="M23" s="25"/>
      <c r="N23" s="78"/>
      <c r="O23" s="22">
        <v>652</v>
      </c>
      <c r="P23" s="25"/>
      <c r="Q23" s="22">
        <v>1184</v>
      </c>
      <c r="R23" s="25"/>
      <c r="S23" s="22">
        <f t="shared" si="2"/>
        <v>1836</v>
      </c>
      <c r="T23" s="17">
        <f t="shared" si="3"/>
        <v>2488</v>
      </c>
      <c r="U23" s="17"/>
      <c r="V23" s="22">
        <v>44</v>
      </c>
      <c r="W23" s="25"/>
      <c r="X23" s="25">
        <f t="shared" si="4"/>
        <v>1880</v>
      </c>
      <c r="Y23" s="17"/>
      <c r="Z23" s="25">
        <f t="shared" si="5"/>
        <v>10962</v>
      </c>
      <c r="AA23" s="6"/>
      <c r="AB23" s="22">
        <v>1047</v>
      </c>
      <c r="AC23" s="17">
        <f t="shared" si="7"/>
        <v>12009</v>
      </c>
      <c r="AD23" s="6"/>
    </row>
    <row r="24" spans="1:30" ht="17.5" customHeight="1">
      <c r="A24" s="22">
        <f t="shared" si="6"/>
        <v>1881</v>
      </c>
      <c r="B24" s="22">
        <v>4519</v>
      </c>
      <c r="C24" s="25"/>
      <c r="D24" s="22">
        <v>1472</v>
      </c>
      <c r="E24" s="25"/>
      <c r="F24" s="22">
        <v>611</v>
      </c>
      <c r="G24" s="25"/>
      <c r="H24" s="25">
        <f t="shared" si="0"/>
        <v>6602</v>
      </c>
      <c r="I24" s="25"/>
      <c r="J24" s="22">
        <v>2280</v>
      </c>
      <c r="K24" s="25"/>
      <c r="L24" s="25">
        <f t="shared" si="1"/>
        <v>8882</v>
      </c>
      <c r="M24" s="25"/>
      <c r="N24" s="78"/>
      <c r="O24" s="22">
        <v>699</v>
      </c>
      <c r="P24" s="25"/>
      <c r="Q24" s="22">
        <v>1603</v>
      </c>
      <c r="R24" s="25"/>
      <c r="S24" s="22">
        <f t="shared" si="2"/>
        <v>2302</v>
      </c>
      <c r="T24" s="17">
        <f t="shared" si="3"/>
        <v>3001</v>
      </c>
      <c r="U24" s="17"/>
      <c r="V24" s="22">
        <v>24</v>
      </c>
      <c r="W24" s="25"/>
      <c r="X24" s="25">
        <f t="shared" si="4"/>
        <v>2326</v>
      </c>
      <c r="Y24" s="17"/>
      <c r="Z24" s="25">
        <f t="shared" si="5"/>
        <v>11208</v>
      </c>
      <c r="AA24" s="6"/>
      <c r="AB24" s="22">
        <v>285</v>
      </c>
      <c r="AC24" s="17">
        <f t="shared" si="7"/>
        <v>11493</v>
      </c>
      <c r="AD24" s="6"/>
    </row>
    <row r="25" spans="1:30" ht="17.5" customHeight="1">
      <c r="A25" s="22">
        <f t="shared" si="6"/>
        <v>1882</v>
      </c>
      <c r="B25" s="22">
        <v>5112</v>
      </c>
      <c r="C25" s="25"/>
      <c r="D25" s="22">
        <v>1604</v>
      </c>
      <c r="E25" s="25"/>
      <c r="F25" s="22">
        <v>661</v>
      </c>
      <c r="G25" s="25"/>
      <c r="H25" s="25">
        <f t="shared" si="0"/>
        <v>7377</v>
      </c>
      <c r="I25" s="25"/>
      <c r="J25" s="22">
        <v>2425</v>
      </c>
      <c r="K25" s="25"/>
      <c r="L25" s="25">
        <f t="shared" si="1"/>
        <v>9802</v>
      </c>
      <c r="M25" s="25"/>
      <c r="N25" s="78"/>
      <c r="O25" s="22">
        <v>758</v>
      </c>
      <c r="P25" s="25"/>
      <c r="Q25" s="22">
        <v>1584</v>
      </c>
      <c r="R25" s="25"/>
      <c r="S25" s="22">
        <f t="shared" si="2"/>
        <v>2342</v>
      </c>
      <c r="T25" s="17">
        <f t="shared" si="3"/>
        <v>3100</v>
      </c>
      <c r="U25" s="17"/>
      <c r="V25" s="22">
        <v>-94</v>
      </c>
      <c r="W25" s="25"/>
      <c r="X25" s="25">
        <f t="shared" si="4"/>
        <v>2248</v>
      </c>
      <c r="Y25" s="17"/>
      <c r="Z25" s="25">
        <f t="shared" si="5"/>
        <v>12050</v>
      </c>
      <c r="AA25" s="6"/>
      <c r="AB25" s="22">
        <v>855</v>
      </c>
      <c r="AC25" s="17">
        <f t="shared" si="7"/>
        <v>12905</v>
      </c>
      <c r="AD25" s="6"/>
    </row>
    <row r="26" spans="1:30" ht="17.5" customHeight="1">
      <c r="A26" s="22">
        <f t="shared" si="6"/>
        <v>1883</v>
      </c>
      <c r="B26" s="22">
        <v>5079</v>
      </c>
      <c r="C26" s="25"/>
      <c r="D26" s="22">
        <v>1543</v>
      </c>
      <c r="E26" s="25"/>
      <c r="F26" s="22">
        <v>656</v>
      </c>
      <c r="G26" s="25"/>
      <c r="H26" s="25">
        <f t="shared" si="0"/>
        <v>7278</v>
      </c>
      <c r="I26" s="25"/>
      <c r="J26" s="22">
        <v>2422</v>
      </c>
      <c r="K26" s="25"/>
      <c r="L26" s="25">
        <f t="shared" si="1"/>
        <v>9700</v>
      </c>
      <c r="M26" s="25"/>
      <c r="N26" s="78"/>
      <c r="O26" s="22">
        <v>660</v>
      </c>
      <c r="P26" s="25"/>
      <c r="Q26" s="22">
        <v>1552</v>
      </c>
      <c r="R26" s="25"/>
      <c r="S26" s="22">
        <f t="shared" si="2"/>
        <v>2212</v>
      </c>
      <c r="T26" s="17">
        <f t="shared" si="3"/>
        <v>2872</v>
      </c>
      <c r="U26" s="17"/>
      <c r="V26" s="22">
        <v>-28</v>
      </c>
      <c r="W26" s="25"/>
      <c r="X26" s="25">
        <f t="shared" si="4"/>
        <v>2184</v>
      </c>
      <c r="Y26" s="17"/>
      <c r="Z26" s="25">
        <f t="shared" si="5"/>
        <v>11884</v>
      </c>
      <c r="AA26" s="6"/>
      <c r="AB26" s="22">
        <v>219</v>
      </c>
      <c r="AC26" s="17">
        <f t="shared" si="7"/>
        <v>12103</v>
      </c>
      <c r="AD26" s="6"/>
    </row>
    <row r="27" spans="1:30" ht="17.5" customHeight="1">
      <c r="A27" s="22">
        <f t="shared" si="6"/>
        <v>1884</v>
      </c>
      <c r="B27" s="22">
        <v>4956</v>
      </c>
      <c r="C27" s="25"/>
      <c r="D27" s="22">
        <v>1403</v>
      </c>
      <c r="E27" s="25"/>
      <c r="F27" s="22">
        <v>638</v>
      </c>
      <c r="G27" s="25"/>
      <c r="H27" s="25">
        <f t="shared" si="0"/>
        <v>6997</v>
      </c>
      <c r="I27" s="25"/>
      <c r="J27" s="22">
        <v>2456</v>
      </c>
      <c r="K27" s="25"/>
      <c r="L27" s="25">
        <f t="shared" si="1"/>
        <v>9453</v>
      </c>
      <c r="M27" s="25"/>
      <c r="N27" s="78"/>
      <c r="O27" s="22">
        <v>457</v>
      </c>
      <c r="P27" s="25"/>
      <c r="Q27" s="22">
        <v>1658</v>
      </c>
      <c r="R27" s="25"/>
      <c r="S27" s="22">
        <f t="shared" si="2"/>
        <v>2115</v>
      </c>
      <c r="T27" s="17">
        <f t="shared" si="3"/>
        <v>2572</v>
      </c>
      <c r="U27" s="17"/>
      <c r="V27" s="22">
        <v>-21</v>
      </c>
      <c r="W27" s="25"/>
      <c r="X27" s="25">
        <f t="shared" si="4"/>
        <v>2094</v>
      </c>
      <c r="Y27" s="17"/>
      <c r="Z27" s="25">
        <f t="shared" si="5"/>
        <v>11547</v>
      </c>
      <c r="AA27" s="6"/>
      <c r="AB27" s="22">
        <v>36</v>
      </c>
      <c r="AC27" s="17">
        <f t="shared" si="7"/>
        <v>11583</v>
      </c>
      <c r="AD27" s="6"/>
    </row>
    <row r="28" spans="1:30" ht="17.5" customHeight="1">
      <c r="A28" s="22">
        <f t="shared" si="6"/>
        <v>1885</v>
      </c>
      <c r="B28" s="22">
        <v>4352</v>
      </c>
      <c r="C28" s="25"/>
      <c r="D28" s="22">
        <v>1504</v>
      </c>
      <c r="E28" s="25"/>
      <c r="F28" s="22">
        <v>659</v>
      </c>
      <c r="G28" s="25"/>
      <c r="H28" s="25">
        <f t="shared" si="0"/>
        <v>6515</v>
      </c>
      <c r="I28" s="25"/>
      <c r="J28" s="22">
        <v>2484</v>
      </c>
      <c r="K28" s="25"/>
      <c r="L28" s="25">
        <f t="shared" si="1"/>
        <v>8999</v>
      </c>
      <c r="M28" s="25"/>
      <c r="N28" s="78"/>
      <c r="O28" s="22">
        <v>401</v>
      </c>
      <c r="P28" s="25"/>
      <c r="Q28" s="22">
        <v>1526</v>
      </c>
      <c r="R28" s="25"/>
      <c r="S28" s="22">
        <f t="shared" si="2"/>
        <v>1927</v>
      </c>
      <c r="T28" s="17">
        <f t="shared" si="3"/>
        <v>2328</v>
      </c>
      <c r="U28" s="17"/>
      <c r="V28" s="22">
        <v>-43</v>
      </c>
      <c r="W28" s="25"/>
      <c r="X28" s="25">
        <f t="shared" si="4"/>
        <v>1884</v>
      </c>
      <c r="Y28" s="17"/>
      <c r="Z28" s="25">
        <f t="shared" si="5"/>
        <v>10883</v>
      </c>
      <c r="AA28" s="6"/>
      <c r="AB28" s="22">
        <v>197</v>
      </c>
      <c r="AC28" s="17">
        <f t="shared" si="7"/>
        <v>11080</v>
      </c>
      <c r="AD28" s="6"/>
    </row>
    <row r="29" spans="1:30" ht="17.5" customHeight="1">
      <c r="A29" s="22">
        <f t="shared" si="6"/>
        <v>1886</v>
      </c>
      <c r="B29" s="22">
        <v>4171</v>
      </c>
      <c r="C29" s="25"/>
      <c r="D29" s="22">
        <v>1569</v>
      </c>
      <c r="E29" s="25"/>
      <c r="F29" s="22">
        <v>726</v>
      </c>
      <c r="G29" s="25"/>
      <c r="H29" s="25">
        <f t="shared" si="0"/>
        <v>6466</v>
      </c>
      <c r="I29" s="25"/>
      <c r="J29" s="22">
        <v>2495</v>
      </c>
      <c r="K29" s="25"/>
      <c r="L29" s="25">
        <f t="shared" si="1"/>
        <v>8961</v>
      </c>
      <c r="M29" s="25"/>
      <c r="N29" s="78"/>
      <c r="O29" s="22">
        <v>567</v>
      </c>
      <c r="P29" s="25"/>
      <c r="Q29" s="22">
        <v>1818</v>
      </c>
      <c r="R29" s="25"/>
      <c r="S29" s="22">
        <f t="shared" si="2"/>
        <v>2385</v>
      </c>
      <c r="T29" s="17">
        <f t="shared" si="3"/>
        <v>2952</v>
      </c>
      <c r="U29" s="17"/>
      <c r="V29" s="22">
        <v>-88</v>
      </c>
      <c r="W29" s="25"/>
      <c r="X29" s="25">
        <f t="shared" si="4"/>
        <v>2297</v>
      </c>
      <c r="Y29" s="17"/>
      <c r="Z29" s="25">
        <f t="shared" si="5"/>
        <v>11258</v>
      </c>
      <c r="AA29" s="6"/>
      <c r="AB29" s="22">
        <v>129</v>
      </c>
      <c r="AC29" s="17">
        <f t="shared" si="7"/>
        <v>11387</v>
      </c>
      <c r="AD29" s="6"/>
    </row>
    <row r="30" spans="1:30" ht="17.5" customHeight="1">
      <c r="A30" s="22">
        <f t="shared" si="6"/>
        <v>1887</v>
      </c>
      <c r="B30" s="22">
        <v>4406</v>
      </c>
      <c r="C30" s="25"/>
      <c r="D30" s="22">
        <v>1567</v>
      </c>
      <c r="E30" s="25"/>
      <c r="F30" s="22">
        <v>745</v>
      </c>
      <c r="G30" s="25"/>
      <c r="H30" s="25">
        <f t="shared" si="0"/>
        <v>6718</v>
      </c>
      <c r="I30" s="25"/>
      <c r="J30" s="22">
        <v>2531</v>
      </c>
      <c r="K30" s="25"/>
      <c r="L30" s="25">
        <f t="shared" si="1"/>
        <v>9249</v>
      </c>
      <c r="M30" s="25"/>
      <c r="N30" s="78"/>
      <c r="O30" s="22">
        <v>682</v>
      </c>
      <c r="P30" s="25"/>
      <c r="Q30" s="22">
        <v>1932</v>
      </c>
      <c r="R30" s="25"/>
      <c r="S30" s="22">
        <f t="shared" si="2"/>
        <v>2614</v>
      </c>
      <c r="T30" s="17">
        <f t="shared" si="3"/>
        <v>3296</v>
      </c>
      <c r="U30" s="17"/>
      <c r="V30" s="22">
        <v>-124</v>
      </c>
      <c r="W30" s="25"/>
      <c r="X30" s="25">
        <f t="shared" si="4"/>
        <v>2490</v>
      </c>
      <c r="Y30" s="17"/>
      <c r="Z30" s="25">
        <f t="shared" si="5"/>
        <v>11739</v>
      </c>
      <c r="AA30" s="6"/>
      <c r="AB30" s="22">
        <v>459</v>
      </c>
      <c r="AC30" s="17">
        <f t="shared" si="7"/>
        <v>12198</v>
      </c>
      <c r="AD30" s="6"/>
    </row>
    <row r="31" spans="1:30" ht="17.5" customHeight="1">
      <c r="A31" s="22">
        <f t="shared" si="6"/>
        <v>1888</v>
      </c>
      <c r="B31" s="22">
        <v>4501</v>
      </c>
      <c r="C31" s="25"/>
      <c r="D31" s="22">
        <v>1606</v>
      </c>
      <c r="E31" s="25"/>
      <c r="F31" s="22">
        <v>747</v>
      </c>
      <c r="G31" s="25"/>
      <c r="H31" s="25">
        <f t="shared" si="0"/>
        <v>6854</v>
      </c>
      <c r="I31" s="25"/>
      <c r="J31" s="22">
        <v>2541</v>
      </c>
      <c r="K31" s="25"/>
      <c r="L31" s="25">
        <f t="shared" si="1"/>
        <v>9395</v>
      </c>
      <c r="M31" s="25"/>
      <c r="N31" s="78"/>
      <c r="O31" s="22">
        <v>633</v>
      </c>
      <c r="P31" s="25"/>
      <c r="Q31" s="22">
        <v>1867</v>
      </c>
      <c r="R31" s="25"/>
      <c r="S31" s="22">
        <f t="shared" si="2"/>
        <v>2500</v>
      </c>
      <c r="T31" s="17">
        <f t="shared" si="3"/>
        <v>3133</v>
      </c>
      <c r="U31" s="17"/>
      <c r="V31" s="22">
        <v>-155</v>
      </c>
      <c r="W31" s="25"/>
      <c r="X31" s="25">
        <f t="shared" si="4"/>
        <v>2345</v>
      </c>
      <c r="Y31" s="17"/>
      <c r="Z31" s="25">
        <f t="shared" si="5"/>
        <v>11740</v>
      </c>
      <c r="AA31" s="6"/>
      <c r="AB31" s="22">
        <v>333</v>
      </c>
      <c r="AC31" s="17">
        <f t="shared" si="7"/>
        <v>12073</v>
      </c>
      <c r="AD31" s="6"/>
    </row>
    <row r="32" spans="1:30" ht="17.5" customHeight="1">
      <c r="A32" s="22">
        <f t="shared" si="6"/>
        <v>1889</v>
      </c>
      <c r="B32" s="22">
        <v>4737</v>
      </c>
      <c r="C32" s="25"/>
      <c r="D32" s="22">
        <v>1666</v>
      </c>
      <c r="E32" s="25"/>
      <c r="F32" s="22">
        <v>765</v>
      </c>
      <c r="G32" s="25"/>
      <c r="H32" s="25">
        <f t="shared" si="0"/>
        <v>7168</v>
      </c>
      <c r="I32" s="25"/>
      <c r="J32" s="22">
        <v>2598</v>
      </c>
      <c r="K32" s="25"/>
      <c r="L32" s="25">
        <f t="shared" si="1"/>
        <v>9766</v>
      </c>
      <c r="M32" s="25"/>
      <c r="N32" s="78"/>
      <c r="O32" s="22">
        <v>657</v>
      </c>
      <c r="P32" s="25"/>
      <c r="Q32" s="22">
        <v>1830</v>
      </c>
      <c r="R32" s="25"/>
      <c r="S32" s="22">
        <f t="shared" si="2"/>
        <v>2487</v>
      </c>
      <c r="T32" s="17">
        <f t="shared" si="3"/>
        <v>3144</v>
      </c>
      <c r="U32" s="17"/>
      <c r="V32" s="22">
        <v>-90</v>
      </c>
      <c r="W32" s="25"/>
      <c r="X32" s="25">
        <f t="shared" si="4"/>
        <v>2397</v>
      </c>
      <c r="Y32" s="17"/>
      <c r="Z32" s="25">
        <f t="shared" si="5"/>
        <v>12163</v>
      </c>
      <c r="AA32" s="6"/>
      <c r="AB32" s="22">
        <v>309</v>
      </c>
      <c r="AC32" s="17">
        <f t="shared" si="7"/>
        <v>12472</v>
      </c>
      <c r="AD32" s="6"/>
    </row>
    <row r="33" spans="1:30" ht="17.5" customHeight="1">
      <c r="A33" s="22">
        <f t="shared" si="6"/>
        <v>1890</v>
      </c>
      <c r="B33" s="22">
        <v>4450</v>
      </c>
      <c r="C33" s="25"/>
      <c r="D33" s="22">
        <v>1764</v>
      </c>
      <c r="E33" s="25"/>
      <c r="F33" s="22">
        <v>827</v>
      </c>
      <c r="G33" s="25"/>
      <c r="H33" s="25">
        <f t="shared" si="0"/>
        <v>7041</v>
      </c>
      <c r="I33" s="25"/>
      <c r="J33" s="22">
        <v>2576</v>
      </c>
      <c r="K33" s="25"/>
      <c r="L33" s="25">
        <f t="shared" si="1"/>
        <v>9617</v>
      </c>
      <c r="M33" s="25"/>
      <c r="N33" s="78"/>
      <c r="O33" s="22">
        <v>678</v>
      </c>
      <c r="P33" s="25"/>
      <c r="Q33" s="22">
        <v>2598</v>
      </c>
      <c r="R33" s="25"/>
      <c r="S33" s="22">
        <f t="shared" si="2"/>
        <v>3276</v>
      </c>
      <c r="T33" s="17">
        <f t="shared" si="3"/>
        <v>3954</v>
      </c>
      <c r="U33" s="17"/>
      <c r="V33" s="22">
        <v>-115</v>
      </c>
      <c r="W33" s="25"/>
      <c r="X33" s="25">
        <f t="shared" si="4"/>
        <v>3161</v>
      </c>
      <c r="Y33" s="17"/>
      <c r="Z33" s="25">
        <f t="shared" si="5"/>
        <v>12778</v>
      </c>
      <c r="AA33" s="6"/>
      <c r="AB33" s="22">
        <v>191</v>
      </c>
      <c r="AC33" s="17">
        <f t="shared" si="7"/>
        <v>12969</v>
      </c>
      <c r="AD33" s="6"/>
    </row>
    <row r="34" spans="1:30" ht="17.5" customHeight="1">
      <c r="A34" s="22">
        <f t="shared" si="6"/>
        <v>1891</v>
      </c>
      <c r="B34" s="22">
        <v>4854</v>
      </c>
      <c r="C34" s="25"/>
      <c r="D34" s="22">
        <v>1771</v>
      </c>
      <c r="E34" s="25"/>
      <c r="F34" s="22">
        <v>855</v>
      </c>
      <c r="G34" s="25"/>
      <c r="H34" s="25">
        <f t="shared" si="0"/>
        <v>7480</v>
      </c>
      <c r="I34" s="25"/>
      <c r="J34" s="22">
        <v>2710</v>
      </c>
      <c r="K34" s="25"/>
      <c r="L34" s="25">
        <f t="shared" si="1"/>
        <v>10190</v>
      </c>
      <c r="M34" s="25"/>
      <c r="N34" s="78"/>
      <c r="O34" s="22">
        <v>682</v>
      </c>
      <c r="P34" s="25"/>
      <c r="Q34" s="22">
        <v>2314</v>
      </c>
      <c r="R34" s="25"/>
      <c r="S34" s="22">
        <f t="shared" si="2"/>
        <v>2996</v>
      </c>
      <c r="T34" s="17">
        <f t="shared" si="3"/>
        <v>3678</v>
      </c>
      <c r="U34" s="17"/>
      <c r="V34" s="22">
        <v>-26</v>
      </c>
      <c r="W34" s="25"/>
      <c r="X34" s="25">
        <f t="shared" si="4"/>
        <v>2970</v>
      </c>
      <c r="Y34" s="17"/>
      <c r="Z34" s="25">
        <f t="shared" si="5"/>
        <v>13160</v>
      </c>
      <c r="AA34" s="6"/>
      <c r="AB34" s="22">
        <v>536</v>
      </c>
      <c r="AC34" s="17">
        <f t="shared" si="7"/>
        <v>13696</v>
      </c>
      <c r="AD34" s="6"/>
    </row>
    <row r="35" spans="1:30" ht="17.5" customHeight="1">
      <c r="A35" s="22">
        <f t="shared" si="6"/>
        <v>1892</v>
      </c>
      <c r="B35" s="22">
        <v>4594</v>
      </c>
      <c r="C35" s="25"/>
      <c r="D35" s="22">
        <v>1864</v>
      </c>
      <c r="E35" s="25"/>
      <c r="F35" s="22">
        <v>890</v>
      </c>
      <c r="G35" s="25"/>
      <c r="H35" s="25">
        <f t="shared" si="0"/>
        <v>7348</v>
      </c>
      <c r="I35" s="25"/>
      <c r="J35" s="22">
        <v>2717</v>
      </c>
      <c r="K35" s="25"/>
      <c r="L35" s="25">
        <f t="shared" si="1"/>
        <v>10065</v>
      </c>
      <c r="M35" s="25"/>
      <c r="N35" s="78"/>
      <c r="O35" s="22">
        <v>705</v>
      </c>
      <c r="P35" s="25"/>
      <c r="Q35" s="22">
        <v>3001</v>
      </c>
      <c r="R35" s="25"/>
      <c r="S35" s="22">
        <f t="shared" si="2"/>
        <v>3706</v>
      </c>
      <c r="T35" s="17">
        <f t="shared" si="3"/>
        <v>4411</v>
      </c>
      <c r="U35" s="17"/>
      <c r="V35" s="22">
        <v>-53</v>
      </c>
      <c r="W35" s="25"/>
      <c r="X35" s="25">
        <f t="shared" si="4"/>
        <v>3653</v>
      </c>
      <c r="Y35" s="17"/>
      <c r="Z35" s="25">
        <f t="shared" si="5"/>
        <v>13718</v>
      </c>
      <c r="AA35" s="6"/>
      <c r="AB35" s="22">
        <v>-383</v>
      </c>
      <c r="AC35" s="17">
        <f t="shared" si="7"/>
        <v>13335</v>
      </c>
      <c r="AD35" s="6"/>
    </row>
    <row r="36" spans="1:30" ht="17.5" customHeight="1">
      <c r="A36" s="22">
        <f t="shared" si="6"/>
        <v>1893</v>
      </c>
      <c r="B36" s="22">
        <v>5404</v>
      </c>
      <c r="C36" s="25"/>
      <c r="D36" s="22">
        <v>1674</v>
      </c>
      <c r="E36" s="25"/>
      <c r="F36" s="22">
        <v>763</v>
      </c>
      <c r="G36" s="25"/>
      <c r="H36" s="25">
        <f t="shared" si="0"/>
        <v>7841</v>
      </c>
      <c r="I36" s="25"/>
      <c r="J36" s="22">
        <v>2795</v>
      </c>
      <c r="K36" s="25"/>
      <c r="L36" s="25">
        <f t="shared" si="1"/>
        <v>10636</v>
      </c>
      <c r="M36" s="25"/>
      <c r="N36" s="78"/>
      <c r="O36" s="22">
        <v>677</v>
      </c>
      <c r="P36" s="25"/>
      <c r="Q36" s="22">
        <v>2490</v>
      </c>
      <c r="R36" s="25"/>
      <c r="S36" s="22">
        <f t="shared" si="2"/>
        <v>3167</v>
      </c>
      <c r="T36" s="17">
        <f t="shared" si="3"/>
        <v>3844</v>
      </c>
      <c r="U36" s="17"/>
      <c r="V36" s="22">
        <v>-41</v>
      </c>
      <c r="W36" s="25"/>
      <c r="X36" s="25">
        <f t="shared" si="4"/>
        <v>3126</v>
      </c>
      <c r="Y36" s="17"/>
      <c r="Z36" s="25">
        <f t="shared" si="5"/>
        <v>13762</v>
      </c>
      <c r="AA36" s="6"/>
      <c r="AB36" s="22">
        <v>84</v>
      </c>
      <c r="AC36" s="17">
        <f t="shared" si="7"/>
        <v>13846</v>
      </c>
      <c r="AD36" s="6"/>
    </row>
    <row r="37" spans="1:30" ht="17.5" customHeight="1">
      <c r="A37" s="22">
        <f t="shared" si="6"/>
        <v>1894</v>
      </c>
      <c r="B37" s="22">
        <v>4792</v>
      </c>
      <c r="C37" s="25"/>
      <c r="D37" s="22">
        <v>1451</v>
      </c>
      <c r="E37" s="25"/>
      <c r="F37" s="22">
        <v>661</v>
      </c>
      <c r="G37" s="25"/>
      <c r="H37" s="25">
        <f t="shared" si="0"/>
        <v>6904</v>
      </c>
      <c r="I37" s="25"/>
      <c r="J37" s="22">
        <v>2718</v>
      </c>
      <c r="K37" s="25"/>
      <c r="L37" s="25">
        <f t="shared" si="1"/>
        <v>9622</v>
      </c>
      <c r="M37" s="25"/>
      <c r="N37" s="78"/>
      <c r="O37" s="22">
        <v>520</v>
      </c>
      <c r="P37" s="25"/>
      <c r="Q37" s="22">
        <v>2160</v>
      </c>
      <c r="R37" s="25"/>
      <c r="S37" s="22">
        <f t="shared" si="2"/>
        <v>2680</v>
      </c>
      <c r="T37" s="17">
        <f t="shared" si="3"/>
        <v>3200</v>
      </c>
      <c r="U37" s="17"/>
      <c r="V37" s="22">
        <v>2</v>
      </c>
      <c r="W37" s="25"/>
      <c r="X37" s="25">
        <f t="shared" si="4"/>
        <v>2682</v>
      </c>
      <c r="Y37" s="17"/>
      <c r="Z37" s="25">
        <f t="shared" si="5"/>
        <v>12304</v>
      </c>
      <c r="AA37" s="6"/>
      <c r="AB37" s="22">
        <v>-1179</v>
      </c>
      <c r="AC37" s="17">
        <f t="shared" si="7"/>
        <v>11125</v>
      </c>
      <c r="AD37" s="6"/>
    </row>
    <row r="38" spans="1:30" ht="17.5" customHeight="1">
      <c r="A38" s="22">
        <f t="shared" si="6"/>
        <v>1895</v>
      </c>
      <c r="B38" s="22">
        <v>5068</v>
      </c>
      <c r="C38" s="25"/>
      <c r="D38" s="22">
        <v>1671</v>
      </c>
      <c r="E38" s="25"/>
      <c r="F38" s="22">
        <v>767</v>
      </c>
      <c r="G38" s="25"/>
      <c r="H38" s="25">
        <f t="shared" si="0"/>
        <v>7506</v>
      </c>
      <c r="I38" s="25"/>
      <c r="J38" s="22">
        <v>3003</v>
      </c>
      <c r="K38" s="25"/>
      <c r="L38" s="25">
        <f t="shared" si="1"/>
        <v>10509</v>
      </c>
      <c r="M38" s="25"/>
      <c r="N38" s="78"/>
      <c r="O38" s="22">
        <v>590</v>
      </c>
      <c r="P38" s="25"/>
      <c r="Q38" s="22">
        <v>2091</v>
      </c>
      <c r="R38" s="25"/>
      <c r="S38" s="22">
        <f t="shared" si="2"/>
        <v>2681</v>
      </c>
      <c r="T38" s="17">
        <f t="shared" si="3"/>
        <v>3271</v>
      </c>
      <c r="U38" s="17"/>
      <c r="V38" s="22">
        <v>-126</v>
      </c>
      <c r="W38" s="25"/>
      <c r="X38" s="25">
        <f t="shared" si="4"/>
        <v>2555</v>
      </c>
      <c r="Y38" s="17"/>
      <c r="Z38" s="25">
        <f t="shared" si="5"/>
        <v>13064</v>
      </c>
      <c r="AA38" s="6"/>
      <c r="AB38" s="22">
        <v>108</v>
      </c>
      <c r="AC38" s="17">
        <f t="shared" si="7"/>
        <v>13172</v>
      </c>
      <c r="AD38" s="6"/>
    </row>
    <row r="39" spans="1:30" ht="17.5" customHeight="1">
      <c r="A39" s="22">
        <f t="shared" si="6"/>
        <v>1896</v>
      </c>
      <c r="B39" s="22">
        <v>4819</v>
      </c>
      <c r="C39" s="25"/>
      <c r="D39" s="22">
        <v>1601</v>
      </c>
      <c r="E39" s="25"/>
      <c r="F39" s="22">
        <v>733</v>
      </c>
      <c r="G39" s="25"/>
      <c r="H39" s="25">
        <f t="shared" si="0"/>
        <v>7153</v>
      </c>
      <c r="I39" s="25"/>
      <c r="J39" s="22">
        <v>3031</v>
      </c>
      <c r="K39" s="25"/>
      <c r="L39" s="25">
        <f t="shared" si="1"/>
        <v>10184</v>
      </c>
      <c r="M39" s="25"/>
      <c r="N39" s="78"/>
      <c r="O39" s="22">
        <v>617</v>
      </c>
      <c r="P39" s="25"/>
      <c r="Q39" s="22">
        <v>1769</v>
      </c>
      <c r="R39" s="25"/>
      <c r="S39" s="22">
        <f t="shared" si="2"/>
        <v>2386</v>
      </c>
      <c r="T39" s="17">
        <f t="shared" si="3"/>
        <v>3003</v>
      </c>
      <c r="U39" s="17"/>
      <c r="V39" s="22">
        <v>86</v>
      </c>
      <c r="W39" s="25"/>
      <c r="X39" s="25">
        <f t="shared" si="4"/>
        <v>2472</v>
      </c>
      <c r="Y39" s="17"/>
      <c r="Z39" s="25">
        <f t="shared" si="5"/>
        <v>12656</v>
      </c>
      <c r="AA39" s="6"/>
      <c r="AB39" s="22">
        <v>-86</v>
      </c>
      <c r="AC39" s="17">
        <f t="shared" si="7"/>
        <v>12570</v>
      </c>
      <c r="AD39" s="6"/>
    </row>
    <row r="40" spans="1:30" ht="17.5" customHeight="1">
      <c r="A40" s="22">
        <f t="shared" si="6"/>
        <v>1897</v>
      </c>
      <c r="B40" s="22">
        <v>5255</v>
      </c>
      <c r="C40" s="25"/>
      <c r="D40" s="22">
        <v>1741</v>
      </c>
      <c r="E40" s="25"/>
      <c r="F40" s="22">
        <v>782</v>
      </c>
      <c r="G40" s="25"/>
      <c r="H40" s="25">
        <f t="shared" si="0"/>
        <v>7778</v>
      </c>
      <c r="I40" s="25"/>
      <c r="J40" s="22">
        <v>3264</v>
      </c>
      <c r="K40" s="25"/>
      <c r="L40" s="25">
        <f t="shared" si="1"/>
        <v>11042</v>
      </c>
      <c r="M40" s="25"/>
      <c r="N40" s="78"/>
      <c r="O40" s="22">
        <v>585</v>
      </c>
      <c r="P40" s="25"/>
      <c r="Q40" s="22">
        <v>1938</v>
      </c>
      <c r="R40" s="25"/>
      <c r="S40" s="22">
        <f t="shared" si="2"/>
        <v>2523</v>
      </c>
      <c r="T40" s="17">
        <f t="shared" si="3"/>
        <v>3108</v>
      </c>
      <c r="U40" s="17"/>
      <c r="V40" s="22">
        <v>139</v>
      </c>
      <c r="W40" s="25"/>
      <c r="X40" s="25">
        <f t="shared" si="4"/>
        <v>2662</v>
      </c>
      <c r="Y40" s="17"/>
      <c r="Z40" s="25">
        <f t="shared" si="5"/>
        <v>13704</v>
      </c>
      <c r="AA40" s="6"/>
      <c r="AB40" s="22">
        <v>700</v>
      </c>
      <c r="AC40" s="17">
        <f t="shared" si="7"/>
        <v>14404</v>
      </c>
      <c r="AD40" s="6"/>
    </row>
    <row r="41" spans="1:30" ht="17.5" customHeight="1">
      <c r="A41" s="22">
        <f t="shared" si="6"/>
        <v>1898</v>
      </c>
      <c r="B41" s="22">
        <v>5607</v>
      </c>
      <c r="C41" s="25"/>
      <c r="D41" s="22">
        <v>1779</v>
      </c>
      <c r="E41" s="25"/>
      <c r="F41" s="22">
        <v>817</v>
      </c>
      <c r="G41" s="25"/>
      <c r="H41" s="25">
        <f t="shared" si="0"/>
        <v>8203</v>
      </c>
      <c r="I41" s="25"/>
      <c r="J41" s="22">
        <v>3357</v>
      </c>
      <c r="K41" s="25"/>
      <c r="L41" s="25">
        <f t="shared" si="1"/>
        <v>11560</v>
      </c>
      <c r="M41" s="25"/>
      <c r="N41" s="78"/>
      <c r="O41" s="22">
        <v>674</v>
      </c>
      <c r="P41" s="25"/>
      <c r="Q41" s="22">
        <v>1887</v>
      </c>
      <c r="R41" s="25"/>
      <c r="S41" s="22">
        <f t="shared" si="2"/>
        <v>2561</v>
      </c>
      <c r="T41" s="17">
        <f t="shared" si="3"/>
        <v>3235</v>
      </c>
      <c r="U41" s="17"/>
      <c r="V41" s="22">
        <v>408</v>
      </c>
      <c r="W41" s="25"/>
      <c r="X41" s="25">
        <f t="shared" si="4"/>
        <v>2969</v>
      </c>
      <c r="Y41" s="17"/>
      <c r="Z41" s="25">
        <f t="shared" si="5"/>
        <v>14529</v>
      </c>
      <c r="AA41" s="6"/>
      <c r="AB41" s="22">
        <v>534</v>
      </c>
      <c r="AC41" s="17">
        <f t="shared" si="7"/>
        <v>15063</v>
      </c>
      <c r="AD41" s="6"/>
    </row>
    <row r="42" spans="1:30" ht="17.5" customHeight="1">
      <c r="A42" s="22">
        <f t="shared" si="6"/>
        <v>1899</v>
      </c>
      <c r="B42" s="22">
        <v>6247</v>
      </c>
      <c r="C42" s="25"/>
      <c r="D42" s="22">
        <v>2086</v>
      </c>
      <c r="E42" s="25"/>
      <c r="F42" s="22">
        <v>981</v>
      </c>
      <c r="G42" s="25"/>
      <c r="H42" s="25">
        <f t="shared" si="0"/>
        <v>9314</v>
      </c>
      <c r="I42" s="25"/>
      <c r="J42" s="22">
        <v>3780</v>
      </c>
      <c r="K42" s="25"/>
      <c r="L42" s="25">
        <f t="shared" si="1"/>
        <v>13094</v>
      </c>
      <c r="M42" s="25"/>
      <c r="N42" s="78"/>
      <c r="O42" s="22">
        <v>892</v>
      </c>
      <c r="P42" s="25"/>
      <c r="Q42" s="22">
        <v>2090</v>
      </c>
      <c r="R42" s="25"/>
      <c r="S42" s="22">
        <f t="shared" si="2"/>
        <v>2982</v>
      </c>
      <c r="T42" s="17">
        <f t="shared" si="3"/>
        <v>3874</v>
      </c>
      <c r="U42" s="17"/>
      <c r="V42" s="22">
        <v>266</v>
      </c>
      <c r="W42" s="25"/>
      <c r="X42" s="25">
        <f t="shared" si="4"/>
        <v>3248</v>
      </c>
      <c r="Y42" s="17"/>
      <c r="Z42" s="25">
        <f t="shared" si="5"/>
        <v>16342</v>
      </c>
      <c r="AA42" s="6"/>
      <c r="AB42" s="22">
        <v>1109</v>
      </c>
      <c r="AC42" s="17">
        <f t="shared" si="7"/>
        <v>17451</v>
      </c>
      <c r="AD42" s="6"/>
    </row>
    <row r="43" spans="1:30" ht="17.5" customHeight="1">
      <c r="A43" s="22">
        <f t="shared" si="6"/>
        <v>1900</v>
      </c>
      <c r="B43" s="22">
        <v>6696</v>
      </c>
      <c r="C43" s="25"/>
      <c r="D43" s="22">
        <v>2232</v>
      </c>
      <c r="E43" s="25"/>
      <c r="F43" s="22">
        <v>1019</v>
      </c>
      <c r="G43" s="25"/>
      <c r="H43" s="25">
        <f t="shared" si="0"/>
        <v>9947</v>
      </c>
      <c r="I43" s="25"/>
      <c r="J43" s="22">
        <v>3992</v>
      </c>
      <c r="K43" s="25"/>
      <c r="L43" s="25">
        <f t="shared" si="1"/>
        <v>13939</v>
      </c>
      <c r="M43" s="25"/>
      <c r="N43" s="78"/>
      <c r="O43" s="22">
        <v>1054</v>
      </c>
      <c r="P43" s="25"/>
      <c r="Q43" s="22">
        <v>2536</v>
      </c>
      <c r="R43" s="25"/>
      <c r="S43" s="22">
        <f t="shared" si="2"/>
        <v>3590</v>
      </c>
      <c r="T43" s="17">
        <f t="shared" si="3"/>
        <v>4644</v>
      </c>
      <c r="U43" s="17"/>
      <c r="V43" s="22">
        <v>412</v>
      </c>
      <c r="W43" s="25"/>
      <c r="X43" s="25">
        <f t="shared" si="4"/>
        <v>4002</v>
      </c>
      <c r="Y43" s="17"/>
      <c r="Z43" s="25">
        <f t="shared" si="5"/>
        <v>17941</v>
      </c>
      <c r="AA43" s="6"/>
      <c r="AB43" s="22">
        <v>1324</v>
      </c>
      <c r="AC43" s="17">
        <f t="shared" si="7"/>
        <v>19265</v>
      </c>
      <c r="AD43" s="6"/>
    </row>
    <row r="44" spans="1:30" ht="17.5" customHeight="1">
      <c r="A44" s="22">
        <f t="shared" si="6"/>
        <v>1901</v>
      </c>
      <c r="B44" s="22">
        <v>7491</v>
      </c>
      <c r="C44" s="25"/>
      <c r="D44" s="22">
        <v>2333</v>
      </c>
      <c r="E44" s="25"/>
      <c r="F44" s="22">
        <v>1111</v>
      </c>
      <c r="G44" s="25"/>
      <c r="H44" s="25">
        <f t="shared" si="0"/>
        <v>10935</v>
      </c>
      <c r="I44" s="25"/>
      <c r="J44" s="22">
        <v>4533</v>
      </c>
      <c r="K44" s="25"/>
      <c r="L44" s="25">
        <f t="shared" si="1"/>
        <v>15468</v>
      </c>
      <c r="M44" s="25"/>
      <c r="N44" s="78"/>
      <c r="O44" s="22">
        <v>1074</v>
      </c>
      <c r="P44" s="25"/>
      <c r="Q44" s="22">
        <v>2682</v>
      </c>
      <c r="R44" s="25"/>
      <c r="S44" s="22">
        <f t="shared" si="2"/>
        <v>3756</v>
      </c>
      <c r="T44" s="17">
        <f t="shared" si="3"/>
        <v>4830</v>
      </c>
      <c r="U44" s="17"/>
      <c r="V44" s="22">
        <v>334</v>
      </c>
      <c r="W44" s="25"/>
      <c r="X44" s="25">
        <f t="shared" si="4"/>
        <v>4090</v>
      </c>
      <c r="Y44" s="17"/>
      <c r="Z44" s="25">
        <f t="shared" si="5"/>
        <v>19558</v>
      </c>
      <c r="AA44" s="6"/>
      <c r="AB44" s="22">
        <v>722</v>
      </c>
      <c r="AC44" s="17">
        <f t="shared" si="7"/>
        <v>20280</v>
      </c>
      <c r="AD44" s="6"/>
    </row>
    <row r="45" spans="1:30" ht="17.5" customHeight="1">
      <c r="A45" s="22">
        <f t="shared" si="6"/>
        <v>1902</v>
      </c>
      <c r="B45" s="22">
        <v>7711</v>
      </c>
      <c r="C45" s="25"/>
      <c r="D45" s="22">
        <v>2471</v>
      </c>
      <c r="E45" s="25"/>
      <c r="F45" s="22">
        <v>1214</v>
      </c>
      <c r="G45" s="25"/>
      <c r="H45" s="25">
        <f t="shared" si="0"/>
        <v>11396</v>
      </c>
      <c r="I45" s="25"/>
      <c r="J45" s="22">
        <v>4742</v>
      </c>
      <c r="K45" s="25"/>
      <c r="L45" s="25">
        <f t="shared" si="1"/>
        <v>16138</v>
      </c>
      <c r="M45" s="25"/>
      <c r="N45" s="78"/>
      <c r="O45" s="22">
        <v>1247</v>
      </c>
      <c r="P45" s="25"/>
      <c r="Q45" s="22">
        <v>3023</v>
      </c>
      <c r="R45" s="25"/>
      <c r="S45" s="22">
        <f t="shared" si="2"/>
        <v>4270</v>
      </c>
      <c r="T45" s="17">
        <f t="shared" si="3"/>
        <v>5517</v>
      </c>
      <c r="U45" s="17"/>
      <c r="V45" s="22">
        <v>153</v>
      </c>
      <c r="W45" s="25"/>
      <c r="X45" s="25">
        <f t="shared" si="4"/>
        <v>4423</v>
      </c>
      <c r="Y45" s="17"/>
      <c r="Z45" s="25">
        <f t="shared" si="5"/>
        <v>20561</v>
      </c>
      <c r="AA45" s="6"/>
      <c r="AB45" s="22">
        <v>647</v>
      </c>
      <c r="AC45" s="17">
        <f t="shared" si="7"/>
        <v>21208</v>
      </c>
      <c r="AD45" s="6"/>
    </row>
    <row r="46" spans="1:30" ht="17.5" customHeight="1">
      <c r="A46" s="22">
        <f t="shared" si="6"/>
        <v>1903</v>
      </c>
      <c r="B46" s="22">
        <v>8089</v>
      </c>
      <c r="C46" s="25"/>
      <c r="D46" s="22">
        <v>2664</v>
      </c>
      <c r="E46" s="25"/>
      <c r="F46" s="22">
        <v>1275</v>
      </c>
      <c r="G46" s="25"/>
      <c r="H46" s="25">
        <f t="shared" si="0"/>
        <v>12028</v>
      </c>
      <c r="I46" s="25"/>
      <c r="J46" s="22">
        <v>5154</v>
      </c>
      <c r="K46" s="25"/>
      <c r="L46" s="25">
        <f t="shared" si="1"/>
        <v>17182</v>
      </c>
      <c r="M46" s="25"/>
      <c r="N46" s="78"/>
      <c r="O46" s="22">
        <v>1324</v>
      </c>
      <c r="P46" s="25"/>
      <c r="Q46" s="22">
        <v>2909</v>
      </c>
      <c r="R46" s="25"/>
      <c r="S46" s="22">
        <f t="shared" si="2"/>
        <v>4233</v>
      </c>
      <c r="T46" s="17">
        <f t="shared" si="3"/>
        <v>5557</v>
      </c>
      <c r="U46" s="17"/>
      <c r="V46" s="22">
        <v>225</v>
      </c>
      <c r="W46" s="25"/>
      <c r="X46" s="25">
        <f t="shared" si="4"/>
        <v>4458</v>
      </c>
      <c r="Y46" s="17"/>
      <c r="Z46" s="25">
        <f t="shared" si="5"/>
        <v>21640</v>
      </c>
      <c r="AA46" s="6"/>
      <c r="AB46" s="22">
        <v>774</v>
      </c>
      <c r="AC46" s="17">
        <f t="shared" si="7"/>
        <v>22414</v>
      </c>
      <c r="AD46" s="6"/>
    </row>
    <row r="47" spans="1:30" ht="17.5" customHeight="1">
      <c r="A47" s="22">
        <f t="shared" si="6"/>
        <v>1904</v>
      </c>
      <c r="B47" s="22">
        <v>8299</v>
      </c>
      <c r="C47" s="25"/>
      <c r="D47" s="22">
        <v>2689</v>
      </c>
      <c r="E47" s="25"/>
      <c r="F47" s="22">
        <v>1277</v>
      </c>
      <c r="G47" s="25"/>
      <c r="H47" s="25">
        <f t="shared" si="0"/>
        <v>12265</v>
      </c>
      <c r="I47" s="25"/>
      <c r="J47" s="22">
        <v>5379</v>
      </c>
      <c r="K47" s="25"/>
      <c r="L47" s="25">
        <f t="shared" si="1"/>
        <v>17644</v>
      </c>
      <c r="M47" s="25"/>
      <c r="N47" s="78"/>
      <c r="O47" s="22">
        <v>1166</v>
      </c>
      <c r="P47" s="25"/>
      <c r="Q47" s="22">
        <v>2879</v>
      </c>
      <c r="R47" s="25"/>
      <c r="S47" s="22">
        <f t="shared" si="2"/>
        <v>4045</v>
      </c>
      <c r="T47" s="17">
        <f t="shared" si="3"/>
        <v>5211</v>
      </c>
      <c r="U47" s="17"/>
      <c r="V47" s="22">
        <v>152</v>
      </c>
      <c r="W47" s="25"/>
      <c r="X47" s="25">
        <f t="shared" si="4"/>
        <v>4197</v>
      </c>
      <c r="Y47" s="17"/>
      <c r="Z47" s="25">
        <f t="shared" si="5"/>
        <v>21841</v>
      </c>
      <c r="AA47" s="6"/>
      <c r="AB47" s="22">
        <v>246</v>
      </c>
      <c r="AC47" s="17">
        <f t="shared" si="7"/>
        <v>22087</v>
      </c>
      <c r="AD47" s="6"/>
    </row>
    <row r="48" spans="1:30" ht="17.5" customHeight="1">
      <c r="A48" s="22">
        <f t="shared" si="6"/>
        <v>1905</v>
      </c>
      <c r="B48" s="22">
        <v>8657</v>
      </c>
      <c r="C48" s="25"/>
      <c r="D48" s="22">
        <v>2974</v>
      </c>
      <c r="E48" s="25"/>
      <c r="F48" s="22">
        <v>1474</v>
      </c>
      <c r="G48" s="25"/>
      <c r="H48" s="25">
        <f t="shared" si="0"/>
        <v>13105</v>
      </c>
      <c r="I48" s="25"/>
      <c r="J48" s="22">
        <v>5819</v>
      </c>
      <c r="K48" s="25"/>
      <c r="L48" s="25">
        <f t="shared" si="1"/>
        <v>18924</v>
      </c>
      <c r="M48" s="25"/>
      <c r="N48" s="78"/>
      <c r="O48" s="22">
        <v>1373</v>
      </c>
      <c r="P48" s="25"/>
      <c r="Q48" s="22">
        <v>3271</v>
      </c>
      <c r="R48" s="25"/>
      <c r="S48" s="22">
        <f t="shared" si="2"/>
        <v>4644</v>
      </c>
      <c r="T48" s="17">
        <f t="shared" si="3"/>
        <v>6017</v>
      </c>
      <c r="U48" s="17"/>
      <c r="V48" s="22">
        <v>165</v>
      </c>
      <c r="W48" s="25"/>
      <c r="X48" s="25">
        <f t="shared" si="4"/>
        <v>4809</v>
      </c>
      <c r="Y48" s="17"/>
      <c r="Z48" s="25">
        <f t="shared" si="5"/>
        <v>23733</v>
      </c>
      <c r="AA48" s="6"/>
      <c r="AB48" s="22">
        <v>735</v>
      </c>
      <c r="AC48" s="17">
        <f t="shared" si="7"/>
        <v>24468</v>
      </c>
      <c r="AD48" s="6"/>
    </row>
    <row r="49" spans="1:30" ht="17.5" customHeight="1">
      <c r="A49" s="22">
        <f t="shared" si="6"/>
        <v>1906</v>
      </c>
      <c r="B49" s="22">
        <v>9447</v>
      </c>
      <c r="C49" s="25"/>
      <c r="D49" s="22">
        <v>3476</v>
      </c>
      <c r="E49" s="25"/>
      <c r="F49" s="22">
        <v>1743</v>
      </c>
      <c r="G49" s="25"/>
      <c r="H49" s="25">
        <f t="shared" si="0"/>
        <v>14666</v>
      </c>
      <c r="I49" s="25"/>
      <c r="J49" s="22">
        <v>6519</v>
      </c>
      <c r="K49" s="25"/>
      <c r="L49" s="25">
        <f t="shared" si="1"/>
        <v>21185</v>
      </c>
      <c r="M49" s="25"/>
      <c r="N49" s="78"/>
      <c r="O49" s="22">
        <v>1729</v>
      </c>
      <c r="P49" s="25"/>
      <c r="Q49" s="22">
        <v>3990</v>
      </c>
      <c r="R49" s="25"/>
      <c r="S49" s="22">
        <f t="shared" si="2"/>
        <v>5719</v>
      </c>
      <c r="T49" s="17">
        <f t="shared" si="3"/>
        <v>7448</v>
      </c>
      <c r="U49" s="17"/>
      <c r="V49" s="22">
        <v>149</v>
      </c>
      <c r="W49" s="25"/>
      <c r="X49" s="25">
        <f t="shared" si="4"/>
        <v>5868</v>
      </c>
      <c r="Y49" s="17"/>
      <c r="Z49" s="25">
        <f t="shared" si="5"/>
        <v>27053</v>
      </c>
      <c r="AA49" s="6"/>
      <c r="AB49" s="22">
        <v>1684</v>
      </c>
      <c r="AC49" s="17">
        <f t="shared" si="7"/>
        <v>28737</v>
      </c>
      <c r="AD49" s="6"/>
    </row>
    <row r="50" spans="1:30" ht="17.5" customHeight="1">
      <c r="A50" s="22">
        <f t="shared" si="6"/>
        <v>1907</v>
      </c>
      <c r="B50" s="22">
        <v>10262</v>
      </c>
      <c r="C50" s="25"/>
      <c r="D50" s="22">
        <v>3588</v>
      </c>
      <c r="E50" s="25"/>
      <c r="F50" s="22">
        <v>1817</v>
      </c>
      <c r="G50" s="25"/>
      <c r="H50" s="25">
        <f t="shared" si="0"/>
        <v>15667</v>
      </c>
      <c r="I50" s="25"/>
      <c r="J50" s="22">
        <v>6875</v>
      </c>
      <c r="K50" s="25"/>
      <c r="L50" s="25">
        <f t="shared" si="1"/>
        <v>22542</v>
      </c>
      <c r="M50" s="25"/>
      <c r="N50" s="78"/>
      <c r="O50" s="22">
        <v>1871</v>
      </c>
      <c r="P50" s="25"/>
      <c r="Q50" s="22">
        <v>4428</v>
      </c>
      <c r="R50" s="25"/>
      <c r="S50" s="22">
        <f t="shared" si="2"/>
        <v>6299</v>
      </c>
      <c r="T50" s="17">
        <f t="shared" si="3"/>
        <v>8170</v>
      </c>
      <c r="U50" s="17"/>
      <c r="V50" s="22">
        <v>119</v>
      </c>
      <c r="W50" s="25"/>
      <c r="X50" s="25">
        <f t="shared" si="4"/>
        <v>6418</v>
      </c>
      <c r="Y50" s="17"/>
      <c r="Z50" s="25">
        <f t="shared" si="5"/>
        <v>28960</v>
      </c>
      <c r="AA50" s="6"/>
      <c r="AB50" s="22">
        <v>1340</v>
      </c>
      <c r="AC50" s="17">
        <f t="shared" si="7"/>
        <v>30300</v>
      </c>
      <c r="AD50" s="6"/>
    </row>
    <row r="51" spans="1:30" ht="17.5" customHeight="1">
      <c r="A51" s="22">
        <f t="shared" si="6"/>
        <v>1908</v>
      </c>
      <c r="B51" s="22">
        <v>9528</v>
      </c>
      <c r="C51" s="25"/>
      <c r="D51" s="22">
        <v>3357</v>
      </c>
      <c r="E51" s="25"/>
      <c r="F51" s="22">
        <v>1559</v>
      </c>
      <c r="G51" s="25"/>
      <c r="H51" s="25">
        <f t="shared" si="0"/>
        <v>14444</v>
      </c>
      <c r="I51" s="25"/>
      <c r="J51" s="22">
        <v>6796</v>
      </c>
      <c r="K51" s="25"/>
      <c r="L51" s="25">
        <f t="shared" si="1"/>
        <v>21240</v>
      </c>
      <c r="M51" s="25"/>
      <c r="N51" s="78"/>
      <c r="O51" s="22">
        <v>1253</v>
      </c>
      <c r="P51" s="25"/>
      <c r="Q51" s="22">
        <v>4062</v>
      </c>
      <c r="R51" s="25"/>
      <c r="S51" s="22">
        <f t="shared" si="2"/>
        <v>5315</v>
      </c>
      <c r="T51" s="17">
        <f t="shared" si="3"/>
        <v>6568</v>
      </c>
      <c r="U51" s="17"/>
      <c r="V51" s="22">
        <v>235</v>
      </c>
      <c r="W51" s="25"/>
      <c r="X51" s="25">
        <f t="shared" si="4"/>
        <v>5550</v>
      </c>
      <c r="Y51" s="17"/>
      <c r="Z51" s="25">
        <f t="shared" si="5"/>
        <v>26790</v>
      </c>
      <c r="AA51" s="6"/>
      <c r="AB51" s="22">
        <v>-1114</v>
      </c>
      <c r="AC51" s="17">
        <f t="shared" si="7"/>
        <v>25676</v>
      </c>
      <c r="AD51" s="6"/>
    </row>
    <row r="52" spans="1:30" ht="17.5" customHeight="1">
      <c r="A52" s="22">
        <f t="shared" si="6"/>
        <v>1909</v>
      </c>
      <c r="B52" s="22">
        <v>10927</v>
      </c>
      <c r="C52" s="25"/>
      <c r="D52" s="22">
        <v>3823</v>
      </c>
      <c r="E52" s="25"/>
      <c r="F52" s="22">
        <v>1370</v>
      </c>
      <c r="G52" s="25"/>
      <c r="H52" s="25">
        <f t="shared" si="0"/>
        <v>16120</v>
      </c>
      <c r="I52" s="25"/>
      <c r="J52" s="22">
        <v>7540</v>
      </c>
      <c r="K52" s="25"/>
      <c r="L52" s="25">
        <f t="shared" si="1"/>
        <v>23660</v>
      </c>
      <c r="M52" s="25"/>
      <c r="N52" s="78"/>
      <c r="O52" s="22">
        <v>1498</v>
      </c>
      <c r="P52" s="25"/>
      <c r="Q52" s="22">
        <v>4467</v>
      </c>
      <c r="R52" s="25"/>
      <c r="S52" s="22">
        <f t="shared" si="2"/>
        <v>5965</v>
      </c>
      <c r="T52" s="17">
        <f t="shared" si="3"/>
        <v>7463</v>
      </c>
      <c r="U52" s="17"/>
      <c r="V52" s="22">
        <v>-161</v>
      </c>
      <c r="W52" s="25"/>
      <c r="X52" s="25">
        <f t="shared" si="4"/>
        <v>5804</v>
      </c>
      <c r="Y52" s="17"/>
      <c r="Z52" s="25">
        <f t="shared" si="5"/>
        <v>29464</v>
      </c>
      <c r="AA52" s="6"/>
      <c r="AB52" s="22">
        <v>1744</v>
      </c>
      <c r="AC52" s="17">
        <f t="shared" si="7"/>
        <v>31208</v>
      </c>
      <c r="AD52" s="6"/>
    </row>
    <row r="53" spans="1:30" ht="17.5" customHeight="1">
      <c r="A53" s="6"/>
      <c r="B53" s="6"/>
      <c r="C53" s="6"/>
      <c r="D53" s="6"/>
      <c r="E53" s="6"/>
      <c r="F53" s="6"/>
      <c r="G53" s="6"/>
      <c r="H53" s="6"/>
      <c r="I53" s="6"/>
      <c r="J53" s="6"/>
      <c r="K53" s="6"/>
      <c r="L53" s="6"/>
      <c r="M53" s="6"/>
      <c r="N53" s="16"/>
      <c r="O53" s="6"/>
      <c r="P53" s="6"/>
      <c r="Q53" s="6"/>
      <c r="R53" s="6"/>
      <c r="S53" s="6"/>
      <c r="T53" s="6"/>
      <c r="U53" s="6"/>
      <c r="V53" s="6"/>
      <c r="W53" s="6"/>
      <c r="X53" s="25"/>
      <c r="Y53" s="6"/>
      <c r="Z53" s="6"/>
      <c r="AA53" s="6"/>
      <c r="AB53" s="6"/>
      <c r="AC53" s="17"/>
      <c r="AD53" s="6"/>
    </row>
    <row r="54" spans="1:30" ht="17.5" customHeight="1">
      <c r="A54" s="6"/>
      <c r="B54" s="6"/>
      <c r="C54" s="6"/>
      <c r="D54" s="6"/>
      <c r="E54" s="6"/>
      <c r="F54" s="6"/>
      <c r="G54" s="6"/>
      <c r="H54" s="6"/>
      <c r="I54" s="6"/>
      <c r="J54" s="6"/>
      <c r="K54" s="6"/>
      <c r="L54" s="6"/>
      <c r="M54" s="6"/>
      <c r="N54" s="16"/>
      <c r="O54" s="6"/>
      <c r="P54" s="6"/>
      <c r="Q54" s="6"/>
      <c r="R54" s="6"/>
      <c r="S54" s="6"/>
      <c r="T54" s="6"/>
      <c r="U54" s="6"/>
      <c r="V54" s="6"/>
      <c r="W54" s="6"/>
      <c r="X54" s="25"/>
      <c r="Y54" s="6"/>
      <c r="Z54" s="6"/>
      <c r="AA54" s="6"/>
      <c r="AB54" s="6"/>
      <c r="AC54" s="6"/>
      <c r="AD54" s="6"/>
    </row>
    <row r="55" spans="1:30" ht="17.5" customHeight="1">
      <c r="A55" s="6"/>
      <c r="B55" s="6"/>
      <c r="C55" s="6"/>
      <c r="D55" s="6"/>
      <c r="E55" s="6"/>
      <c r="F55" s="6"/>
      <c r="G55" s="6"/>
      <c r="H55" s="6"/>
      <c r="I55" s="6"/>
      <c r="J55" s="6"/>
      <c r="K55" s="6"/>
      <c r="L55" s="6"/>
      <c r="M55" s="6"/>
      <c r="N55" s="16"/>
      <c r="O55" s="6"/>
      <c r="P55" s="6"/>
      <c r="Q55" s="6"/>
      <c r="R55" s="6"/>
      <c r="S55" s="6"/>
      <c r="T55" s="6"/>
      <c r="U55" s="6"/>
      <c r="V55" s="6"/>
      <c r="W55" s="6"/>
      <c r="X55" s="25"/>
      <c r="Y55" s="6"/>
      <c r="Z55" s="6"/>
      <c r="AA55" s="6"/>
      <c r="AB55" s="6"/>
      <c r="AC55" s="6"/>
      <c r="AD55" s="6"/>
    </row>
    <row r="56" spans="1:30" ht="13.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row>
    <row r="57" spans="1:30" ht="13.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row>
    <row r="58" spans="1:30" ht="13.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row>
    <row r="59" spans="1:30" ht="17.5" customHeight="1">
      <c r="A59" s="6"/>
      <c r="B59" s="6"/>
      <c r="C59" s="6"/>
      <c r="D59" s="6"/>
      <c r="E59" s="6"/>
      <c r="F59" s="6"/>
      <c r="G59" s="6"/>
      <c r="H59" s="6"/>
      <c r="I59" s="6"/>
      <c r="J59" s="6"/>
      <c r="K59" s="6"/>
      <c r="L59" s="6"/>
      <c r="M59" s="6"/>
      <c r="N59" s="16"/>
      <c r="O59" s="6"/>
      <c r="P59" s="6"/>
      <c r="Q59" s="6"/>
      <c r="R59" s="6"/>
      <c r="S59" s="6"/>
      <c r="T59" s="6"/>
      <c r="U59" s="6"/>
      <c r="V59" s="6"/>
      <c r="W59" s="6"/>
      <c r="X59" s="25"/>
      <c r="Y59" s="6"/>
      <c r="Z59" s="6"/>
      <c r="AA59" s="6"/>
      <c r="AB59" s="6"/>
      <c r="AC59" s="6"/>
      <c r="AD59" s="6"/>
    </row>
    <row r="60" spans="1:30" ht="17.5" customHeight="1">
      <c r="A60" s="6"/>
      <c r="B60" s="6"/>
      <c r="C60" s="6"/>
      <c r="D60" s="6"/>
      <c r="E60" s="6"/>
      <c r="F60" s="6"/>
      <c r="G60" s="6"/>
      <c r="H60" s="6"/>
      <c r="I60" s="6"/>
      <c r="J60" s="6"/>
      <c r="K60" s="6"/>
      <c r="L60" s="6"/>
      <c r="M60" s="6"/>
      <c r="N60" s="16"/>
      <c r="O60" s="6"/>
      <c r="P60" s="6"/>
      <c r="Q60" s="6"/>
      <c r="R60" s="6"/>
      <c r="S60" s="6"/>
      <c r="T60" s="6"/>
      <c r="U60" s="6"/>
      <c r="V60" s="6"/>
      <c r="W60" s="6"/>
      <c r="X60" s="25"/>
      <c r="Y60" s="6"/>
      <c r="Z60" s="6"/>
      <c r="AA60" s="6"/>
      <c r="AB60" s="6"/>
      <c r="AC60" s="6"/>
      <c r="AD60" s="6"/>
    </row>
    <row r="61" spans="1:30" ht="17.5" customHeight="1">
      <c r="A61" s="6"/>
      <c r="B61" s="6"/>
      <c r="C61" s="6"/>
      <c r="D61" s="6"/>
      <c r="E61" s="6"/>
      <c r="F61" s="6"/>
      <c r="G61" s="6"/>
      <c r="H61" s="6"/>
      <c r="I61" s="6"/>
      <c r="J61" s="6"/>
      <c r="K61" s="6"/>
      <c r="L61" s="6"/>
      <c r="M61" s="6"/>
      <c r="N61" s="16"/>
      <c r="O61" s="6"/>
      <c r="P61" s="6"/>
      <c r="Q61" s="6"/>
      <c r="R61" s="6"/>
      <c r="S61" s="6"/>
      <c r="T61" s="6"/>
      <c r="U61" s="6"/>
      <c r="V61" s="6"/>
      <c r="W61" s="6"/>
      <c r="X61" s="25"/>
      <c r="Y61" s="6"/>
      <c r="Z61" s="6"/>
      <c r="AA61" s="6"/>
      <c r="AB61" s="6"/>
      <c r="AC61" s="6"/>
      <c r="AD61" s="6"/>
    </row>
    <row r="62" spans="1:30" ht="17.5" customHeight="1">
      <c r="A62" s="6"/>
      <c r="B62" s="6"/>
      <c r="C62" s="6"/>
      <c r="D62" s="6"/>
      <c r="E62" s="6"/>
      <c r="F62" s="6"/>
      <c r="G62" s="6"/>
      <c r="H62" s="6"/>
      <c r="I62" s="6"/>
      <c r="J62" s="6"/>
      <c r="K62" s="6"/>
      <c r="L62" s="6"/>
      <c r="M62" s="6"/>
      <c r="N62" s="16"/>
      <c r="O62" s="6"/>
      <c r="P62" s="6"/>
      <c r="Q62" s="6"/>
      <c r="R62" s="6"/>
      <c r="S62" s="6"/>
      <c r="T62" s="6"/>
      <c r="U62" s="6"/>
      <c r="V62" s="6"/>
      <c r="W62" s="6"/>
      <c r="X62" s="25"/>
      <c r="Y62" s="6"/>
      <c r="Z62" s="6"/>
      <c r="AA62" s="6"/>
      <c r="AB62" s="6"/>
      <c r="AC62" s="6"/>
      <c r="AD62" s="6"/>
    </row>
    <row r="63" spans="1:30" ht="17.5" customHeight="1">
      <c r="A63" s="6"/>
      <c r="B63" s="6"/>
      <c r="C63" s="6"/>
      <c r="D63" s="6"/>
      <c r="E63" s="6"/>
      <c r="F63" s="6"/>
      <c r="G63" s="6"/>
      <c r="H63" s="6"/>
      <c r="I63" s="6"/>
      <c r="J63" s="6"/>
      <c r="K63" s="6"/>
      <c r="L63" s="6"/>
      <c r="M63" s="6"/>
      <c r="N63" s="16"/>
      <c r="O63" s="6"/>
      <c r="P63" s="6"/>
      <c r="Q63" s="6"/>
      <c r="R63" s="6"/>
      <c r="S63" s="6"/>
      <c r="T63" s="6"/>
      <c r="U63" s="6"/>
      <c r="V63" s="6"/>
      <c r="W63" s="6"/>
      <c r="X63" s="25"/>
      <c r="Y63" s="6"/>
      <c r="Z63" s="6"/>
      <c r="AA63" s="6"/>
      <c r="AB63" s="6"/>
      <c r="AC63" s="6"/>
      <c r="AD63" s="6"/>
    </row>
    <row r="64" spans="1:30" ht="17.5" customHeight="1">
      <c r="A64" s="6"/>
      <c r="B64" s="6"/>
      <c r="C64" s="6"/>
      <c r="D64" s="6"/>
      <c r="E64" s="6"/>
      <c r="F64" s="6"/>
      <c r="G64" s="6"/>
      <c r="H64" s="6"/>
      <c r="I64" s="6"/>
      <c r="J64" s="6"/>
      <c r="K64" s="6"/>
      <c r="L64" s="6"/>
      <c r="M64" s="6"/>
      <c r="N64" s="16"/>
      <c r="O64" s="6"/>
      <c r="P64" s="6"/>
      <c r="Q64" s="6"/>
      <c r="R64" s="6"/>
      <c r="S64" s="6"/>
      <c r="T64" s="6"/>
      <c r="U64" s="6"/>
      <c r="V64" s="6"/>
      <c r="W64" s="6"/>
      <c r="X64" s="25"/>
      <c r="Y64" s="6"/>
      <c r="Z64" s="6"/>
      <c r="AA64" s="6"/>
      <c r="AB64" s="6"/>
      <c r="AC64" s="6"/>
      <c r="AD64" s="6"/>
    </row>
    <row r="65" spans="1:30" ht="17.5" customHeight="1">
      <c r="A65" s="6"/>
      <c r="B65" s="6"/>
      <c r="C65" s="6"/>
      <c r="D65" s="6"/>
      <c r="E65" s="6"/>
      <c r="F65" s="6"/>
      <c r="G65" s="6"/>
      <c r="H65" s="6"/>
      <c r="I65" s="6"/>
      <c r="J65" s="6"/>
      <c r="K65" s="6"/>
      <c r="L65" s="6"/>
      <c r="M65" s="6"/>
      <c r="N65" s="16"/>
      <c r="O65" s="6"/>
      <c r="P65" s="6"/>
      <c r="Q65" s="6"/>
      <c r="R65" s="6"/>
      <c r="S65" s="6"/>
      <c r="T65" s="6"/>
      <c r="U65" s="6"/>
      <c r="V65" s="6"/>
      <c r="W65" s="6"/>
      <c r="X65" s="6"/>
      <c r="Y65" s="6"/>
      <c r="Z65" s="6"/>
      <c r="AA65" s="6"/>
      <c r="AB65" s="6"/>
      <c r="AC65" s="6"/>
      <c r="AD65" s="6"/>
    </row>
    <row r="66" spans="1:30" ht="17.5" customHeight="1">
      <c r="A66" s="6"/>
      <c r="B66" s="6"/>
      <c r="C66" s="6"/>
      <c r="D66" s="6"/>
      <c r="E66" s="6"/>
      <c r="F66" s="6"/>
      <c r="G66" s="6"/>
      <c r="H66" s="6"/>
      <c r="I66" s="6"/>
      <c r="J66" s="6"/>
      <c r="K66" s="6"/>
      <c r="L66" s="6"/>
      <c r="M66" s="6"/>
      <c r="N66" s="16"/>
      <c r="O66" s="6"/>
      <c r="P66" s="6"/>
      <c r="Q66" s="6"/>
      <c r="R66" s="6"/>
      <c r="S66" s="6"/>
      <c r="T66" s="6"/>
      <c r="U66" s="6"/>
      <c r="V66" s="6"/>
      <c r="W66" s="6"/>
      <c r="X66" s="6"/>
      <c r="Y66" s="6"/>
      <c r="Z66" s="6"/>
      <c r="AA66" s="6"/>
      <c r="AB66" s="6"/>
      <c r="AC66" s="6"/>
      <c r="AD66" s="6"/>
    </row>
    <row r="67" spans="1:30" ht="17.5" customHeight="1">
      <c r="A67" s="6"/>
      <c r="B67" s="6"/>
      <c r="C67" s="6"/>
      <c r="D67" s="6"/>
      <c r="E67" s="6"/>
      <c r="F67" s="6"/>
      <c r="G67" s="6"/>
      <c r="H67" s="6"/>
      <c r="I67" s="6"/>
      <c r="J67" s="6"/>
      <c r="K67" s="6"/>
      <c r="L67" s="6"/>
      <c r="M67" s="6"/>
      <c r="N67" s="16"/>
      <c r="O67" s="6"/>
      <c r="P67" s="6"/>
      <c r="Q67" s="6"/>
      <c r="R67" s="6"/>
      <c r="S67" s="6"/>
      <c r="T67" s="6"/>
      <c r="U67" s="6"/>
      <c r="V67" s="6"/>
      <c r="W67" s="6"/>
      <c r="X67" s="6"/>
      <c r="Y67" s="6"/>
      <c r="Z67" s="6"/>
      <c r="AA67" s="6"/>
      <c r="AB67" s="6"/>
      <c r="AC67" s="6"/>
      <c r="AD67" s="6"/>
    </row>
    <row r="68" spans="1:30" ht="17.5" customHeight="1">
      <c r="A68" s="6"/>
      <c r="B68" s="6"/>
      <c r="C68" s="6"/>
      <c r="D68" s="6"/>
      <c r="E68" s="6"/>
      <c r="F68" s="6"/>
      <c r="G68" s="6"/>
      <c r="H68" s="6"/>
      <c r="I68" s="6"/>
      <c r="J68" s="6"/>
      <c r="K68" s="6"/>
      <c r="L68" s="6"/>
      <c r="M68" s="6"/>
      <c r="N68" s="16"/>
      <c r="O68" s="6"/>
      <c r="P68" s="6"/>
      <c r="Q68" s="6"/>
      <c r="R68" s="6"/>
      <c r="S68" s="6"/>
      <c r="T68" s="6"/>
      <c r="U68" s="6"/>
      <c r="V68" s="6"/>
      <c r="W68" s="6"/>
      <c r="X68" s="6"/>
      <c r="Y68" s="6"/>
      <c r="Z68" s="6"/>
      <c r="AA68" s="6"/>
      <c r="AB68" s="6"/>
      <c r="AC68" s="6"/>
      <c r="AD68" s="6"/>
    </row>
    <row r="69" spans="1:30" ht="17.5" customHeight="1">
      <c r="A69" s="6"/>
      <c r="B69" s="6"/>
      <c r="C69" s="6"/>
      <c r="D69" s="6"/>
      <c r="E69" s="6"/>
      <c r="F69" s="6"/>
      <c r="G69" s="6"/>
      <c r="H69" s="6"/>
      <c r="I69" s="6"/>
      <c r="J69" s="6"/>
      <c r="K69" s="6"/>
      <c r="L69" s="6"/>
      <c r="M69" s="6"/>
      <c r="N69" s="16"/>
      <c r="O69" s="6"/>
      <c r="P69" s="6"/>
      <c r="Q69" s="6"/>
      <c r="R69" s="6"/>
      <c r="S69" s="6"/>
      <c r="T69" s="6"/>
      <c r="U69" s="6"/>
      <c r="V69" s="6"/>
      <c r="W69" s="6"/>
      <c r="X69" s="6"/>
      <c r="Y69" s="6"/>
      <c r="Z69" s="6"/>
      <c r="AA69" s="6"/>
      <c r="AB69" s="6"/>
      <c r="AC69" s="6"/>
      <c r="AD69" s="6"/>
    </row>
    <row r="70" spans="1:30" ht="17.5" customHeight="1">
      <c r="A70" s="6"/>
      <c r="B70" s="6"/>
      <c r="C70" s="6"/>
      <c r="D70" s="6"/>
      <c r="E70" s="6"/>
      <c r="F70" s="6"/>
      <c r="G70" s="6"/>
      <c r="H70" s="6"/>
      <c r="I70" s="6"/>
      <c r="J70" s="6"/>
      <c r="K70" s="6"/>
      <c r="L70" s="6"/>
      <c r="M70" s="6"/>
      <c r="N70" s="16"/>
      <c r="O70" s="6"/>
      <c r="P70" s="6"/>
      <c r="Q70" s="6"/>
      <c r="R70" s="6"/>
      <c r="S70" s="6"/>
      <c r="T70" s="6"/>
      <c r="U70" s="6"/>
      <c r="V70" s="6"/>
      <c r="W70" s="6"/>
      <c r="X70" s="6"/>
      <c r="Y70" s="6"/>
      <c r="Z70" s="6"/>
      <c r="AA70" s="6"/>
      <c r="AB70" s="6"/>
      <c r="AC70" s="6"/>
      <c r="AD70" s="6"/>
    </row>
    <row r="71" spans="1:30" ht="17.5" customHeight="1">
      <c r="A71" s="6"/>
      <c r="B71" s="6"/>
      <c r="C71" s="6"/>
      <c r="D71" s="6"/>
      <c r="E71" s="6"/>
      <c r="F71" s="6"/>
      <c r="G71" s="6"/>
      <c r="H71" s="6"/>
      <c r="I71" s="6"/>
      <c r="J71" s="6"/>
      <c r="K71" s="6"/>
      <c r="L71" s="6"/>
      <c r="M71" s="6"/>
      <c r="N71" s="16"/>
      <c r="O71" s="6"/>
      <c r="P71" s="6"/>
      <c r="Q71" s="6"/>
      <c r="R71" s="6"/>
      <c r="S71" s="6"/>
      <c r="T71" s="6"/>
      <c r="U71" s="6"/>
      <c r="V71" s="6"/>
      <c r="W71" s="6"/>
      <c r="X71" s="6"/>
      <c r="Y71" s="6"/>
      <c r="Z71" s="6"/>
      <c r="AA71" s="6"/>
      <c r="AB71" s="6"/>
      <c r="AC71" s="6"/>
      <c r="AD71" s="6"/>
    </row>
    <row r="72" spans="1:30" ht="17.5" customHeight="1">
      <c r="A72" s="6"/>
      <c r="B72" s="6"/>
      <c r="C72" s="6"/>
      <c r="D72" s="6"/>
      <c r="E72" s="6"/>
      <c r="F72" s="6"/>
      <c r="G72" s="6"/>
      <c r="H72" s="6"/>
      <c r="I72" s="6"/>
      <c r="J72" s="6"/>
      <c r="K72" s="6"/>
      <c r="L72" s="6"/>
      <c r="M72" s="6"/>
      <c r="N72" s="16"/>
      <c r="O72" s="6"/>
      <c r="P72" s="6"/>
      <c r="Q72" s="6"/>
      <c r="R72" s="6"/>
      <c r="S72" s="6"/>
      <c r="T72" s="6"/>
      <c r="U72" s="6"/>
      <c r="V72" s="6"/>
      <c r="W72" s="6"/>
      <c r="X72" s="6"/>
      <c r="Y72" s="6"/>
      <c r="Z72" s="6"/>
      <c r="AA72" s="6"/>
      <c r="AB72" s="6"/>
      <c r="AC72" s="6"/>
      <c r="AD72" s="6"/>
    </row>
    <row r="73" spans="1:30" ht="17.5" customHeight="1">
      <c r="A73" s="6"/>
      <c r="B73" s="6"/>
      <c r="C73" s="6"/>
      <c r="D73" s="6"/>
      <c r="E73" s="6"/>
      <c r="F73" s="6"/>
      <c r="G73" s="6"/>
      <c r="H73" s="6"/>
      <c r="I73" s="6"/>
      <c r="J73" s="6"/>
      <c r="K73" s="6"/>
      <c r="L73" s="6"/>
      <c r="M73" s="6"/>
      <c r="N73" s="16"/>
      <c r="O73" s="6"/>
      <c r="P73" s="6"/>
      <c r="Q73" s="6"/>
      <c r="R73" s="6"/>
      <c r="S73" s="6"/>
      <c r="T73" s="6"/>
      <c r="U73" s="6"/>
      <c r="V73" s="6"/>
      <c r="W73" s="6"/>
      <c r="X73" s="6"/>
      <c r="Y73" s="6"/>
      <c r="Z73" s="6"/>
      <c r="AA73" s="6"/>
      <c r="AB73" s="6"/>
      <c r="AC73" s="6"/>
      <c r="AD73" s="6"/>
    </row>
    <row r="74" spans="1:30" ht="17.5" customHeight="1">
      <c r="A74" s="6"/>
      <c r="B74" s="6"/>
      <c r="C74" s="6"/>
      <c r="D74" s="6"/>
      <c r="E74" s="6"/>
      <c r="F74" s="6"/>
      <c r="G74" s="6"/>
      <c r="H74" s="6"/>
      <c r="I74" s="6"/>
      <c r="J74" s="6"/>
      <c r="K74" s="6"/>
      <c r="L74" s="6"/>
      <c r="M74" s="6"/>
      <c r="N74" s="16"/>
      <c r="O74" s="6"/>
      <c r="P74" s="6"/>
      <c r="Q74" s="6"/>
      <c r="R74" s="6"/>
      <c r="S74" s="6"/>
      <c r="T74" s="6"/>
      <c r="U74" s="6"/>
      <c r="V74" s="6"/>
      <c r="W74" s="6"/>
      <c r="X74" s="6"/>
      <c r="Y74" s="6"/>
      <c r="Z74" s="6"/>
      <c r="AA74" s="6"/>
      <c r="AB74" s="6"/>
      <c r="AC74" s="6"/>
      <c r="AD74" s="6"/>
    </row>
    <row r="75" spans="1:30" ht="17.5" customHeight="1">
      <c r="A75" s="6"/>
      <c r="B75" s="6"/>
      <c r="C75" s="6"/>
      <c r="D75" s="6"/>
      <c r="E75" s="6"/>
      <c r="F75" s="6"/>
      <c r="G75" s="6"/>
      <c r="H75" s="6"/>
      <c r="I75" s="6"/>
      <c r="J75" s="6"/>
      <c r="K75" s="6"/>
      <c r="L75" s="6"/>
      <c r="M75" s="6"/>
      <c r="N75" s="16"/>
      <c r="O75" s="6"/>
      <c r="P75" s="6"/>
      <c r="Q75" s="6"/>
      <c r="R75" s="6"/>
      <c r="S75" s="6"/>
      <c r="T75" s="6"/>
      <c r="U75" s="6"/>
      <c r="V75" s="6"/>
      <c r="W75" s="6"/>
      <c r="X75" s="6"/>
      <c r="Y75" s="6"/>
      <c r="Z75" s="6"/>
      <c r="AA75" s="6"/>
      <c r="AB75" s="6"/>
      <c r="AC75" s="6"/>
      <c r="AD75" s="6"/>
    </row>
    <row r="76" spans="1:30" ht="17.5" customHeight="1">
      <c r="A76" s="6"/>
      <c r="B76" s="6"/>
      <c r="C76" s="6"/>
      <c r="D76" s="6"/>
      <c r="E76" s="6"/>
      <c r="F76" s="6"/>
      <c r="G76" s="6"/>
      <c r="H76" s="6"/>
      <c r="I76" s="6"/>
      <c r="J76" s="6"/>
      <c r="K76" s="6"/>
      <c r="L76" s="6"/>
      <c r="M76" s="6"/>
      <c r="N76" s="16"/>
      <c r="O76" s="6"/>
      <c r="P76" s="6"/>
      <c r="Q76" s="6"/>
      <c r="R76" s="6"/>
      <c r="S76" s="6"/>
      <c r="T76" s="6"/>
      <c r="U76" s="6"/>
      <c r="V76" s="6"/>
      <c r="W76" s="6"/>
      <c r="X76" s="6"/>
      <c r="Y76" s="6"/>
      <c r="Z76" s="6"/>
      <c r="AA76" s="6"/>
      <c r="AB76" s="6"/>
      <c r="AC76" s="6"/>
      <c r="AD76" s="6"/>
    </row>
    <row r="77" spans="1:30" ht="17.5" customHeight="1">
      <c r="A77" s="6"/>
      <c r="B77" s="6"/>
      <c r="C77" s="6"/>
      <c r="D77" s="6"/>
      <c r="E77" s="6"/>
      <c r="F77" s="6"/>
      <c r="G77" s="6"/>
      <c r="H77" s="6"/>
      <c r="I77" s="6"/>
      <c r="J77" s="6"/>
      <c r="K77" s="6"/>
      <c r="L77" s="6"/>
      <c r="M77" s="6"/>
      <c r="N77" s="16"/>
      <c r="O77" s="6"/>
      <c r="P77" s="6"/>
      <c r="Q77" s="6"/>
      <c r="R77" s="6"/>
      <c r="S77" s="6"/>
      <c r="T77" s="6"/>
      <c r="U77" s="6"/>
      <c r="V77" s="6"/>
      <c r="W77" s="6"/>
      <c r="X77" s="6"/>
      <c r="Y77" s="6"/>
      <c r="Z77" s="6"/>
      <c r="AA77" s="6"/>
      <c r="AB77" s="6"/>
      <c r="AC77" s="6"/>
      <c r="AD77" s="6"/>
    </row>
    <row r="78" spans="1:30" ht="17.5" customHeight="1">
      <c r="A78" s="6"/>
      <c r="B78" s="6"/>
      <c r="C78" s="6"/>
      <c r="D78" s="6"/>
      <c r="E78" s="6"/>
      <c r="F78" s="6"/>
      <c r="G78" s="6"/>
      <c r="H78" s="6"/>
      <c r="I78" s="6"/>
      <c r="J78" s="6"/>
      <c r="K78" s="6"/>
      <c r="L78" s="6"/>
      <c r="M78" s="6"/>
      <c r="N78" s="16"/>
      <c r="O78" s="6"/>
      <c r="P78" s="6"/>
      <c r="Q78" s="6"/>
      <c r="R78" s="6"/>
      <c r="S78" s="6"/>
      <c r="T78" s="6"/>
      <c r="U78" s="6"/>
      <c r="V78" s="6"/>
      <c r="W78" s="6"/>
      <c r="X78" s="6"/>
      <c r="Y78" s="6"/>
      <c r="Z78" s="6"/>
      <c r="AA78" s="6"/>
      <c r="AB78" s="6"/>
      <c r="AC78" s="6"/>
      <c r="AD78" s="6"/>
    </row>
    <row r="79" spans="1:30" ht="17.5" customHeight="1">
      <c r="A79" s="6"/>
      <c r="B79" s="6"/>
      <c r="C79" s="6"/>
      <c r="D79" s="6"/>
      <c r="E79" s="6"/>
      <c r="F79" s="6"/>
      <c r="G79" s="6"/>
      <c r="H79" s="6"/>
      <c r="I79" s="6"/>
      <c r="J79" s="6"/>
      <c r="K79" s="6"/>
      <c r="L79" s="6"/>
      <c r="M79" s="6"/>
      <c r="N79" s="16"/>
      <c r="O79" s="6"/>
      <c r="P79" s="6"/>
      <c r="Q79" s="6"/>
      <c r="R79" s="6"/>
      <c r="S79" s="6"/>
      <c r="T79" s="6"/>
      <c r="U79" s="6"/>
      <c r="V79" s="6"/>
      <c r="W79" s="6"/>
      <c r="X79" s="6"/>
      <c r="Y79" s="6"/>
      <c r="Z79" s="6"/>
      <c r="AA79" s="6"/>
      <c r="AB79" s="6"/>
      <c r="AC79" s="6"/>
      <c r="AD79" s="6"/>
    </row>
    <row r="80" spans="1:30" ht="17.5" customHeight="1">
      <c r="A80" s="6"/>
      <c r="B80" s="6"/>
      <c r="C80" s="6"/>
      <c r="D80" s="6"/>
      <c r="E80" s="6"/>
      <c r="F80" s="6"/>
      <c r="G80" s="6"/>
      <c r="H80" s="6"/>
      <c r="I80" s="6"/>
      <c r="J80" s="6"/>
      <c r="K80" s="6"/>
      <c r="L80" s="6"/>
      <c r="M80" s="6"/>
      <c r="N80" s="16"/>
      <c r="O80" s="6"/>
      <c r="P80" s="6"/>
      <c r="Q80" s="6"/>
      <c r="R80" s="6"/>
      <c r="S80" s="6"/>
      <c r="T80" s="6"/>
      <c r="U80" s="6"/>
      <c r="V80" s="6"/>
      <c r="W80" s="6"/>
      <c r="X80" s="6"/>
      <c r="Y80" s="6"/>
      <c r="Z80" s="6"/>
      <c r="AA80" s="6"/>
      <c r="AB80" s="6"/>
      <c r="AC80" s="6"/>
      <c r="AD80" s="6"/>
    </row>
    <row r="81" spans="1:30" ht="17.5" customHeight="1">
      <c r="A81" s="6"/>
      <c r="B81" s="6"/>
      <c r="C81" s="6"/>
      <c r="D81" s="6"/>
      <c r="E81" s="6"/>
      <c r="F81" s="6"/>
      <c r="G81" s="6"/>
      <c r="H81" s="6"/>
      <c r="I81" s="6"/>
      <c r="J81" s="6"/>
      <c r="K81" s="6"/>
      <c r="L81" s="6"/>
      <c r="M81" s="6"/>
      <c r="N81" s="16"/>
      <c r="O81" s="6"/>
      <c r="P81" s="6"/>
      <c r="Q81" s="6"/>
      <c r="R81" s="6"/>
      <c r="S81" s="6"/>
      <c r="T81" s="6"/>
      <c r="U81" s="6"/>
      <c r="V81" s="6"/>
      <c r="W81" s="6"/>
      <c r="X81" s="25"/>
      <c r="Y81" s="6"/>
      <c r="Z81" s="6"/>
      <c r="AA81" s="6"/>
      <c r="AB81" s="6"/>
      <c r="AC81" s="6"/>
      <c r="AD81" s="6"/>
    </row>
    <row r="82" spans="1:30" ht="17.5" customHeight="1">
      <c r="A82" s="6"/>
      <c r="B82" s="6"/>
      <c r="C82" s="6"/>
      <c r="D82" s="6"/>
      <c r="E82" s="6"/>
      <c r="F82" s="6"/>
      <c r="G82" s="6"/>
      <c r="H82" s="6"/>
      <c r="I82" s="6"/>
      <c r="J82" s="6"/>
      <c r="K82" s="6"/>
      <c r="L82" s="6"/>
      <c r="M82" s="6"/>
      <c r="N82" s="16"/>
      <c r="O82" s="6"/>
      <c r="P82" s="6"/>
      <c r="Q82" s="6"/>
      <c r="R82" s="6"/>
      <c r="S82" s="6"/>
      <c r="T82" s="6"/>
      <c r="U82" s="6"/>
      <c r="V82" s="6"/>
      <c r="W82" s="6"/>
      <c r="X82" s="25"/>
      <c r="Y82" s="6"/>
      <c r="Z82" s="6"/>
      <c r="AA82" s="6"/>
      <c r="AB82" s="6"/>
      <c r="AC82" s="6"/>
      <c r="AD82" s="6"/>
    </row>
    <row r="83" spans="1:30" ht="17.5" customHeight="1">
      <c r="A83" s="6"/>
      <c r="B83" s="6"/>
      <c r="C83" s="6"/>
      <c r="D83" s="6"/>
      <c r="E83" s="6"/>
      <c r="F83" s="6"/>
      <c r="G83" s="6"/>
      <c r="H83" s="6"/>
      <c r="I83" s="6"/>
      <c r="J83" s="6"/>
      <c r="K83" s="6"/>
      <c r="L83" s="6"/>
      <c r="M83" s="6"/>
      <c r="N83" s="16"/>
      <c r="O83" s="6"/>
      <c r="P83" s="6"/>
      <c r="Q83" s="6"/>
      <c r="R83" s="6"/>
      <c r="S83" s="6"/>
      <c r="T83" s="6"/>
      <c r="U83" s="6"/>
      <c r="V83" s="6"/>
      <c r="W83" s="6"/>
      <c r="X83" s="25"/>
      <c r="Y83" s="6"/>
      <c r="Z83" s="6"/>
      <c r="AA83" s="6"/>
      <c r="AB83" s="6"/>
      <c r="AC83" s="6"/>
      <c r="AD83" s="6"/>
    </row>
    <row r="84" spans="1:30" ht="17.5" customHeight="1">
      <c r="A84" s="6"/>
      <c r="B84" s="6"/>
      <c r="C84" s="6"/>
      <c r="D84" s="6"/>
      <c r="E84" s="6"/>
      <c r="F84" s="6"/>
      <c r="G84" s="6"/>
      <c r="H84" s="6"/>
      <c r="I84" s="6"/>
      <c r="J84" s="6"/>
      <c r="K84" s="6"/>
      <c r="L84" s="6"/>
      <c r="M84" s="6"/>
      <c r="N84" s="16"/>
      <c r="O84" s="6"/>
      <c r="P84" s="6"/>
      <c r="Q84" s="6"/>
      <c r="R84" s="6"/>
      <c r="S84" s="6"/>
      <c r="T84" s="6"/>
      <c r="U84" s="6"/>
      <c r="V84" s="6"/>
      <c r="W84" s="6"/>
      <c r="X84" s="25"/>
      <c r="Y84" s="6"/>
      <c r="Z84" s="6"/>
      <c r="AA84" s="6"/>
      <c r="AB84" s="6"/>
      <c r="AC84" s="6"/>
      <c r="AD84" s="6"/>
    </row>
    <row r="85" spans="1:30" ht="17.5" customHeight="1">
      <c r="A85" s="6"/>
      <c r="B85" s="6"/>
      <c r="C85" s="6"/>
      <c r="D85" s="6"/>
      <c r="E85" s="6"/>
      <c r="F85" s="6"/>
      <c r="G85" s="6"/>
      <c r="H85" s="6"/>
      <c r="I85" s="6"/>
      <c r="J85" s="6"/>
      <c r="K85" s="6"/>
      <c r="L85" s="6"/>
      <c r="M85" s="6"/>
      <c r="N85" s="16"/>
      <c r="O85" s="6"/>
      <c r="P85" s="6"/>
      <c r="Q85" s="6"/>
      <c r="R85" s="6"/>
      <c r="S85" s="6"/>
      <c r="T85" s="6"/>
      <c r="U85" s="6"/>
      <c r="V85" s="6"/>
      <c r="W85" s="6"/>
      <c r="X85" s="25"/>
      <c r="Y85" s="6"/>
      <c r="Z85" s="6"/>
      <c r="AA85" s="6"/>
      <c r="AB85" s="6"/>
      <c r="AC85" s="6"/>
      <c r="AD85" s="6"/>
    </row>
    <row r="86" spans="1:30" ht="17.5" customHeight="1">
      <c r="A86" s="6"/>
      <c r="B86" s="6"/>
      <c r="C86" s="6"/>
      <c r="D86" s="6"/>
      <c r="E86" s="6"/>
      <c r="F86" s="6"/>
      <c r="G86" s="6"/>
      <c r="H86" s="6"/>
      <c r="I86" s="6"/>
      <c r="J86" s="6"/>
      <c r="K86" s="6"/>
      <c r="L86" s="6"/>
      <c r="M86" s="6"/>
      <c r="N86" s="16"/>
      <c r="O86" s="6"/>
      <c r="P86" s="6"/>
      <c r="Q86" s="6"/>
      <c r="R86" s="6"/>
      <c r="S86" s="6"/>
      <c r="T86" s="6"/>
      <c r="U86" s="6"/>
      <c r="V86" s="6"/>
      <c r="W86" s="6"/>
      <c r="X86" s="25"/>
      <c r="Y86" s="6"/>
      <c r="Z86" s="6"/>
      <c r="AA86" s="6"/>
      <c r="AB86" s="6"/>
      <c r="AC86" s="6"/>
      <c r="AD86" s="6"/>
    </row>
    <row r="87" spans="1:30" ht="17.5" customHeight="1">
      <c r="A87" s="6"/>
      <c r="B87" s="6"/>
      <c r="C87" s="6"/>
      <c r="D87" s="6"/>
      <c r="E87" s="6"/>
      <c r="F87" s="6"/>
      <c r="G87" s="6"/>
      <c r="H87" s="6"/>
      <c r="I87" s="6"/>
      <c r="J87" s="6"/>
      <c r="K87" s="6"/>
      <c r="L87" s="6"/>
      <c r="M87" s="6"/>
      <c r="N87" s="16"/>
      <c r="O87" s="6"/>
      <c r="P87" s="6"/>
      <c r="Q87" s="6"/>
      <c r="R87" s="6"/>
      <c r="S87" s="6"/>
      <c r="T87" s="6"/>
      <c r="U87" s="6"/>
      <c r="V87" s="6"/>
      <c r="W87" s="6"/>
      <c r="X87" s="25"/>
      <c r="Y87" s="6"/>
      <c r="Z87" s="6"/>
      <c r="AA87" s="6"/>
      <c r="AB87" s="6"/>
      <c r="AC87" s="6"/>
      <c r="AD87" s="6"/>
    </row>
    <row r="88" spans="1:30" ht="17.5" customHeight="1">
      <c r="A88" s="6"/>
      <c r="B88" s="6"/>
      <c r="C88" s="6"/>
      <c r="D88" s="6"/>
      <c r="E88" s="6"/>
      <c r="F88" s="6"/>
      <c r="G88" s="6"/>
      <c r="H88" s="6"/>
      <c r="I88" s="6"/>
      <c r="J88" s="6"/>
      <c r="K88" s="6"/>
      <c r="L88" s="6"/>
      <c r="M88" s="6"/>
      <c r="N88" s="16"/>
      <c r="O88" s="6"/>
      <c r="P88" s="6"/>
      <c r="Q88" s="6"/>
      <c r="R88" s="6"/>
      <c r="S88" s="6"/>
      <c r="T88" s="6"/>
      <c r="U88" s="6"/>
      <c r="V88" s="6"/>
      <c r="W88" s="6"/>
      <c r="X88" s="25"/>
      <c r="Y88" s="6"/>
      <c r="Z88" s="6"/>
      <c r="AA88" s="6"/>
      <c r="AB88" s="6"/>
      <c r="AC88" s="6"/>
      <c r="AD88" s="6"/>
    </row>
    <row r="89" spans="1:30" ht="17.5" customHeight="1">
      <c r="A89" s="6"/>
      <c r="B89" s="6"/>
      <c r="C89" s="6"/>
      <c r="D89" s="6"/>
      <c r="E89" s="6"/>
      <c r="F89" s="6"/>
      <c r="G89" s="6"/>
      <c r="H89" s="6"/>
      <c r="I89" s="6"/>
      <c r="J89" s="6"/>
      <c r="K89" s="6"/>
      <c r="L89" s="6"/>
      <c r="M89" s="6"/>
      <c r="N89" s="16"/>
      <c r="O89" s="6"/>
      <c r="P89" s="6"/>
      <c r="Q89" s="6"/>
      <c r="R89" s="6"/>
      <c r="S89" s="6"/>
      <c r="T89" s="6"/>
      <c r="U89" s="6"/>
      <c r="V89" s="6"/>
      <c r="W89" s="6"/>
      <c r="X89" s="25"/>
      <c r="Y89" s="6"/>
      <c r="Z89" s="6"/>
      <c r="AA89" s="6"/>
      <c r="AB89" s="6"/>
      <c r="AC89" s="6"/>
      <c r="AD89" s="6"/>
    </row>
    <row r="90" spans="1:30" ht="17.5" customHeight="1">
      <c r="A90" s="6"/>
      <c r="B90" s="6"/>
      <c r="C90" s="6"/>
      <c r="D90" s="6"/>
      <c r="E90" s="6"/>
      <c r="F90" s="6"/>
      <c r="G90" s="6"/>
      <c r="H90" s="6"/>
      <c r="I90" s="6"/>
      <c r="J90" s="6"/>
      <c r="K90" s="6"/>
      <c r="L90" s="6"/>
      <c r="M90" s="6"/>
      <c r="N90" s="16"/>
      <c r="O90" s="6"/>
      <c r="P90" s="6"/>
      <c r="Q90" s="6"/>
      <c r="R90" s="6"/>
      <c r="S90" s="6"/>
      <c r="T90" s="6"/>
      <c r="U90" s="6"/>
      <c r="V90" s="6"/>
      <c r="W90" s="6"/>
      <c r="X90" s="25"/>
      <c r="Y90" s="6"/>
      <c r="Z90" s="6"/>
      <c r="AA90" s="6"/>
      <c r="AB90" s="6"/>
      <c r="AC90" s="6"/>
      <c r="AD90" s="6"/>
    </row>
    <row r="91" spans="1:30" ht="17.5" customHeight="1">
      <c r="A91" s="6"/>
      <c r="B91" s="6"/>
      <c r="C91" s="6"/>
      <c r="D91" s="6"/>
      <c r="E91" s="6"/>
      <c r="F91" s="6"/>
      <c r="G91" s="6"/>
      <c r="H91" s="6"/>
      <c r="I91" s="6"/>
      <c r="J91" s="6"/>
      <c r="K91" s="6"/>
      <c r="L91" s="6"/>
      <c r="M91" s="6"/>
      <c r="N91" s="16"/>
      <c r="O91" s="6"/>
      <c r="P91" s="6"/>
      <c r="Q91" s="6"/>
      <c r="R91" s="6"/>
      <c r="S91" s="6"/>
      <c r="T91" s="6"/>
      <c r="U91" s="6"/>
      <c r="V91" s="6"/>
      <c r="W91" s="6"/>
      <c r="X91" s="25"/>
      <c r="Y91" s="6"/>
      <c r="Z91" s="6"/>
      <c r="AA91" s="6"/>
      <c r="AB91" s="6"/>
      <c r="AC91" s="6"/>
      <c r="AD91" s="6"/>
    </row>
    <row r="92" spans="1:30" ht="17.5" customHeight="1">
      <c r="A92" s="6"/>
      <c r="B92" s="6"/>
      <c r="C92" s="6"/>
      <c r="D92" s="6"/>
      <c r="E92" s="6"/>
      <c r="F92" s="6"/>
      <c r="G92" s="6"/>
      <c r="H92" s="6"/>
      <c r="I92" s="6"/>
      <c r="J92" s="6"/>
      <c r="K92" s="6"/>
      <c r="L92" s="6"/>
      <c r="M92" s="6"/>
      <c r="N92" s="16"/>
      <c r="O92" s="6"/>
      <c r="P92" s="6"/>
      <c r="Q92" s="6"/>
      <c r="R92" s="6"/>
      <c r="S92" s="6"/>
      <c r="T92" s="6"/>
      <c r="U92" s="6"/>
      <c r="V92" s="6"/>
      <c r="W92" s="6"/>
      <c r="X92" s="25"/>
      <c r="Y92" s="6"/>
      <c r="Z92" s="6"/>
      <c r="AA92" s="6"/>
      <c r="AB92" s="6"/>
      <c r="AC92" s="6"/>
      <c r="AD92" s="6"/>
    </row>
    <row r="93" spans="1:30" ht="17.5" customHeight="1">
      <c r="A93" s="6"/>
      <c r="B93" s="6"/>
      <c r="C93" s="6"/>
      <c r="D93" s="6"/>
      <c r="E93" s="6"/>
      <c r="F93" s="6"/>
      <c r="G93" s="6"/>
      <c r="H93" s="6"/>
      <c r="I93" s="6"/>
      <c r="J93" s="6"/>
      <c r="K93" s="6"/>
      <c r="L93" s="6"/>
      <c r="M93" s="6"/>
      <c r="N93" s="16"/>
      <c r="O93" s="6"/>
      <c r="P93" s="6"/>
      <c r="Q93" s="6"/>
      <c r="R93" s="6"/>
      <c r="S93" s="6"/>
      <c r="T93" s="6"/>
      <c r="U93" s="6"/>
      <c r="V93" s="6"/>
      <c r="W93" s="6"/>
      <c r="X93" s="25"/>
      <c r="Y93" s="6"/>
      <c r="Z93" s="6"/>
      <c r="AA93" s="6"/>
      <c r="AB93" s="6"/>
      <c r="AC93" s="6"/>
      <c r="AD93" s="6"/>
    </row>
    <row r="94" spans="1:30" ht="17.5" customHeight="1">
      <c r="A94" s="6"/>
      <c r="B94" s="6"/>
      <c r="C94" s="6"/>
      <c r="D94" s="6"/>
      <c r="E94" s="6"/>
      <c r="F94" s="6"/>
      <c r="G94" s="6"/>
      <c r="H94" s="6"/>
      <c r="I94" s="6"/>
      <c r="J94" s="6"/>
      <c r="K94" s="6"/>
      <c r="L94" s="6"/>
      <c r="M94" s="6"/>
      <c r="N94" s="16"/>
      <c r="O94" s="6"/>
      <c r="P94" s="6"/>
      <c r="Q94" s="6"/>
      <c r="R94" s="6"/>
      <c r="S94" s="6"/>
      <c r="T94" s="6"/>
      <c r="U94" s="6"/>
      <c r="V94" s="6"/>
      <c r="W94" s="6"/>
      <c r="X94" s="25"/>
      <c r="Y94" s="6"/>
      <c r="Z94" s="6"/>
      <c r="AA94" s="6"/>
      <c r="AB94" s="6"/>
      <c r="AC94" s="6"/>
      <c r="AD94" s="6"/>
    </row>
    <row r="95" spans="1:30" ht="17.5" customHeight="1">
      <c r="A95" s="6"/>
      <c r="B95" s="6"/>
      <c r="C95" s="6"/>
      <c r="D95" s="6"/>
      <c r="E95" s="6"/>
      <c r="F95" s="6"/>
      <c r="G95" s="6"/>
      <c r="H95" s="6"/>
      <c r="I95" s="6"/>
      <c r="J95" s="6"/>
      <c r="K95" s="6"/>
      <c r="L95" s="6"/>
      <c r="M95" s="6"/>
      <c r="N95" s="16"/>
      <c r="O95" s="6"/>
      <c r="P95" s="6"/>
      <c r="Q95" s="6"/>
      <c r="R95" s="6"/>
      <c r="S95" s="6"/>
      <c r="T95" s="6"/>
      <c r="U95" s="6"/>
      <c r="V95" s="6"/>
      <c r="W95" s="6"/>
      <c r="X95" s="25"/>
      <c r="Y95" s="6"/>
      <c r="Z95" s="6"/>
      <c r="AA95" s="6"/>
      <c r="AB95" s="6"/>
      <c r="AC95" s="6"/>
      <c r="AD95" s="6"/>
    </row>
    <row r="96" spans="1:30" ht="17.5" customHeight="1">
      <c r="A96" s="6"/>
      <c r="B96" s="6"/>
      <c r="C96" s="6"/>
      <c r="D96" s="6"/>
      <c r="E96" s="6"/>
      <c r="F96" s="6"/>
      <c r="G96" s="6"/>
      <c r="H96" s="6"/>
      <c r="I96" s="6"/>
      <c r="J96" s="6"/>
      <c r="K96" s="6"/>
      <c r="L96" s="6"/>
      <c r="M96" s="6"/>
      <c r="N96" s="16"/>
      <c r="O96" s="6"/>
      <c r="P96" s="6"/>
      <c r="Q96" s="6"/>
      <c r="R96" s="6"/>
      <c r="S96" s="6"/>
      <c r="T96" s="6"/>
      <c r="U96" s="6"/>
      <c r="V96" s="6"/>
      <c r="W96" s="6"/>
      <c r="X96" s="25"/>
      <c r="Y96" s="6"/>
      <c r="Z96" s="6"/>
      <c r="AA96" s="6"/>
      <c r="AB96" s="6"/>
      <c r="AC96" s="6"/>
      <c r="AD96" s="6"/>
    </row>
    <row r="97" spans="1:30" ht="17.5" customHeight="1">
      <c r="A97" s="6"/>
      <c r="B97" s="6"/>
      <c r="C97" s="6"/>
      <c r="D97" s="6"/>
      <c r="E97" s="6"/>
      <c r="F97" s="6"/>
      <c r="G97" s="6"/>
      <c r="H97" s="6"/>
      <c r="I97" s="6"/>
      <c r="J97" s="6"/>
      <c r="K97" s="6"/>
      <c r="L97" s="6"/>
      <c r="M97" s="6"/>
      <c r="N97" s="16"/>
      <c r="O97" s="6"/>
      <c r="P97" s="6"/>
      <c r="Q97" s="6"/>
      <c r="R97" s="6"/>
      <c r="S97" s="6"/>
      <c r="T97" s="6"/>
      <c r="U97" s="6"/>
      <c r="V97" s="6"/>
      <c r="W97" s="6"/>
      <c r="X97" s="6"/>
      <c r="Y97" s="6"/>
      <c r="Z97" s="6"/>
      <c r="AA97" s="6"/>
      <c r="AB97" s="6"/>
      <c r="AC97" s="6"/>
      <c r="AD97" s="6"/>
    </row>
    <row r="98" spans="1:30" ht="17.5" customHeight="1">
      <c r="A98" s="6"/>
      <c r="B98" s="6"/>
      <c r="C98" s="6"/>
      <c r="D98" s="6"/>
      <c r="E98" s="6"/>
      <c r="F98" s="6"/>
      <c r="G98" s="6"/>
      <c r="H98" s="6"/>
      <c r="I98" s="6"/>
      <c r="J98" s="6"/>
      <c r="K98" s="6"/>
      <c r="L98" s="6"/>
      <c r="M98" s="6"/>
      <c r="N98" s="16"/>
      <c r="O98" s="6"/>
      <c r="P98" s="6"/>
      <c r="Q98" s="6"/>
      <c r="R98" s="6"/>
      <c r="S98" s="6"/>
      <c r="T98" s="6"/>
      <c r="U98" s="6"/>
      <c r="V98" s="6"/>
      <c r="W98" s="6"/>
      <c r="X98" s="6"/>
      <c r="Y98" s="6"/>
      <c r="Z98" s="6"/>
      <c r="AA98" s="6"/>
      <c r="AB98" s="6"/>
      <c r="AC98" s="6"/>
      <c r="AD98" s="6"/>
    </row>
    <row r="99" spans="1:30" ht="17.5" customHeight="1">
      <c r="A99" s="6"/>
      <c r="B99" s="6"/>
      <c r="C99" s="6"/>
      <c r="D99" s="6"/>
      <c r="E99" s="6"/>
      <c r="F99" s="6"/>
      <c r="G99" s="6"/>
      <c r="H99" s="6"/>
      <c r="I99" s="6"/>
      <c r="J99" s="6"/>
      <c r="K99" s="6"/>
      <c r="L99" s="6"/>
      <c r="M99" s="6"/>
      <c r="N99" s="16"/>
      <c r="O99" s="6"/>
      <c r="P99" s="6"/>
      <c r="Q99" s="6"/>
      <c r="R99" s="6"/>
      <c r="S99" s="6"/>
      <c r="T99" s="6"/>
      <c r="U99" s="6"/>
      <c r="V99" s="6"/>
      <c r="W99" s="6"/>
      <c r="X99" s="6"/>
      <c r="Y99" s="6"/>
      <c r="Z99" s="6"/>
      <c r="AA99" s="6"/>
      <c r="AB99" s="6"/>
      <c r="AC99" s="6"/>
      <c r="AD99" s="6"/>
    </row>
    <row r="100" spans="1:30" ht="17.5" customHeight="1">
      <c r="A100" s="6"/>
      <c r="B100" s="6"/>
      <c r="C100" s="6"/>
      <c r="D100" s="6"/>
      <c r="E100" s="6"/>
      <c r="F100" s="6"/>
      <c r="G100" s="6"/>
      <c r="H100" s="6"/>
      <c r="I100" s="6"/>
      <c r="J100" s="6"/>
      <c r="K100" s="6"/>
      <c r="L100" s="6"/>
      <c r="M100" s="6"/>
      <c r="N100" s="16"/>
      <c r="O100" s="6"/>
      <c r="P100" s="6"/>
      <c r="Q100" s="6"/>
      <c r="R100" s="6"/>
      <c r="S100" s="6"/>
      <c r="T100" s="6"/>
      <c r="U100" s="6"/>
      <c r="V100" s="6"/>
      <c r="W100" s="6"/>
      <c r="X100" s="6"/>
      <c r="Y100" s="6"/>
      <c r="Z100" s="6"/>
      <c r="AA100" s="6"/>
      <c r="AB100" s="6"/>
      <c r="AC100" s="6"/>
      <c r="AD100" s="6"/>
    </row>
    <row r="101" spans="1:30" ht="17.5" customHeight="1">
      <c r="A101" s="6"/>
      <c r="B101" s="6"/>
      <c r="C101" s="6"/>
      <c r="D101" s="6"/>
      <c r="E101" s="6"/>
      <c r="F101" s="6"/>
      <c r="G101" s="6"/>
      <c r="H101" s="6"/>
      <c r="I101" s="6"/>
      <c r="J101" s="6"/>
      <c r="K101" s="6"/>
      <c r="L101" s="6"/>
      <c r="M101" s="6"/>
      <c r="N101" s="16"/>
      <c r="O101" s="6"/>
      <c r="P101" s="6"/>
      <c r="Q101" s="6"/>
      <c r="R101" s="6"/>
      <c r="S101" s="6"/>
      <c r="T101" s="6"/>
      <c r="U101" s="6"/>
      <c r="V101" s="6"/>
      <c r="W101" s="6"/>
      <c r="X101" s="6"/>
      <c r="Y101" s="6"/>
      <c r="Z101" s="6"/>
      <c r="AA101" s="6"/>
      <c r="AB101" s="6"/>
      <c r="AC101" s="6"/>
      <c r="AD101" s="6"/>
    </row>
    <row r="102" spans="1:30" ht="17.5" customHeight="1">
      <c r="A102" s="6"/>
      <c r="B102" s="6"/>
      <c r="C102" s="6"/>
      <c r="D102" s="6"/>
      <c r="E102" s="6"/>
      <c r="F102" s="6"/>
      <c r="G102" s="6"/>
      <c r="H102" s="6"/>
      <c r="I102" s="6"/>
      <c r="J102" s="6"/>
      <c r="K102" s="6"/>
      <c r="L102" s="6"/>
      <c r="M102" s="6"/>
      <c r="N102" s="16"/>
      <c r="O102" s="6"/>
      <c r="P102" s="6"/>
      <c r="Q102" s="6"/>
      <c r="R102" s="6"/>
      <c r="S102" s="6"/>
      <c r="T102" s="6"/>
      <c r="U102" s="6"/>
      <c r="V102" s="6"/>
      <c r="W102" s="6"/>
      <c r="X102" s="6"/>
      <c r="Y102" s="6"/>
      <c r="Z102" s="6"/>
      <c r="AA102" s="6"/>
      <c r="AB102" s="6"/>
      <c r="AC102" s="6"/>
      <c r="AD102" s="6"/>
    </row>
    <row r="103" spans="1:30" ht="17.5" customHeight="1">
      <c r="A103" s="6"/>
      <c r="B103" s="6"/>
      <c r="C103" s="6"/>
      <c r="D103" s="6"/>
      <c r="E103" s="6"/>
      <c r="F103" s="6"/>
      <c r="G103" s="6"/>
      <c r="H103" s="6"/>
      <c r="I103" s="6"/>
      <c r="J103" s="6"/>
      <c r="K103" s="6"/>
      <c r="L103" s="6"/>
      <c r="M103" s="6"/>
      <c r="N103" s="16"/>
      <c r="O103" s="6"/>
      <c r="P103" s="6"/>
      <c r="Q103" s="6"/>
      <c r="R103" s="6"/>
      <c r="S103" s="6"/>
      <c r="T103" s="6"/>
      <c r="U103" s="6"/>
      <c r="V103" s="6"/>
      <c r="W103" s="6"/>
      <c r="X103" s="6"/>
      <c r="Y103" s="6"/>
      <c r="Z103" s="6"/>
      <c r="AA103" s="6"/>
      <c r="AB103" s="6"/>
      <c r="AC103" s="6"/>
      <c r="AD103" s="6"/>
    </row>
    <row r="104" spans="1:30" ht="17.5" customHeight="1">
      <c r="A104" s="6"/>
      <c r="B104" s="6"/>
      <c r="C104" s="6"/>
      <c r="D104" s="6"/>
      <c r="E104" s="6"/>
      <c r="F104" s="6"/>
      <c r="G104" s="6"/>
      <c r="H104" s="6"/>
      <c r="I104" s="6"/>
      <c r="J104" s="6"/>
      <c r="K104" s="6"/>
      <c r="L104" s="6"/>
      <c r="M104" s="6"/>
      <c r="N104" s="16"/>
      <c r="O104" s="6"/>
      <c r="P104" s="6"/>
      <c r="Q104" s="6"/>
      <c r="R104" s="6"/>
      <c r="S104" s="6"/>
      <c r="T104" s="6"/>
      <c r="U104" s="6"/>
      <c r="V104" s="6"/>
      <c r="W104" s="6"/>
      <c r="X104" s="6"/>
      <c r="Y104" s="6"/>
      <c r="Z104" s="6"/>
      <c r="AA104" s="6"/>
      <c r="AB104" s="6"/>
      <c r="AC104" s="6"/>
      <c r="AD104" s="6"/>
    </row>
    <row r="105" spans="1:30" ht="17.5" customHeight="1">
      <c r="A105" s="6"/>
      <c r="B105" s="6"/>
      <c r="C105" s="6"/>
      <c r="D105" s="6"/>
      <c r="E105" s="6"/>
      <c r="F105" s="6"/>
      <c r="G105" s="6"/>
      <c r="H105" s="6"/>
      <c r="I105" s="6"/>
      <c r="J105" s="6"/>
      <c r="K105" s="6"/>
      <c r="L105" s="6"/>
      <c r="M105" s="6"/>
      <c r="N105" s="16"/>
      <c r="O105" s="6"/>
      <c r="P105" s="6"/>
      <c r="Q105" s="6"/>
      <c r="R105" s="6"/>
      <c r="S105" s="6"/>
      <c r="T105" s="6"/>
      <c r="U105" s="6"/>
      <c r="V105" s="6"/>
      <c r="W105" s="6"/>
      <c r="X105" s="6"/>
      <c r="Y105" s="6"/>
      <c r="Z105" s="6"/>
      <c r="AA105" s="6"/>
      <c r="AB105" s="6"/>
      <c r="AC105" s="6"/>
      <c r="AD105" s="6"/>
    </row>
    <row r="106" spans="1:30" ht="17.5" customHeight="1">
      <c r="A106" s="6"/>
      <c r="B106" s="6"/>
      <c r="C106" s="6"/>
      <c r="D106" s="6"/>
      <c r="E106" s="6"/>
      <c r="F106" s="6"/>
      <c r="G106" s="6"/>
      <c r="H106" s="6"/>
      <c r="I106" s="6"/>
      <c r="J106" s="6"/>
      <c r="K106" s="6"/>
      <c r="L106" s="6"/>
      <c r="M106" s="6"/>
      <c r="N106" s="16"/>
      <c r="O106" s="6"/>
      <c r="P106" s="6"/>
      <c r="Q106" s="6"/>
      <c r="R106" s="6"/>
      <c r="S106" s="6"/>
      <c r="T106" s="6"/>
      <c r="U106" s="6"/>
      <c r="V106" s="6"/>
      <c r="W106" s="6"/>
      <c r="X106" s="6"/>
      <c r="Y106" s="6"/>
      <c r="Z106" s="6"/>
      <c r="AA106" s="6"/>
      <c r="AB106" s="6"/>
      <c r="AC106" s="6"/>
      <c r="AD106" s="6"/>
    </row>
    <row r="107" spans="1:30" ht="17.5" customHeight="1">
      <c r="A107" s="6"/>
      <c r="B107" s="6"/>
      <c r="C107" s="6"/>
      <c r="D107" s="6"/>
      <c r="E107" s="6"/>
      <c r="F107" s="6"/>
      <c r="G107" s="6"/>
      <c r="H107" s="6"/>
      <c r="I107" s="6"/>
      <c r="J107" s="6"/>
      <c r="K107" s="6"/>
      <c r="L107" s="6"/>
      <c r="M107" s="6"/>
      <c r="N107" s="16"/>
      <c r="O107" s="6"/>
      <c r="P107" s="6"/>
      <c r="Q107" s="6"/>
      <c r="R107" s="6"/>
      <c r="S107" s="6"/>
      <c r="T107" s="6"/>
      <c r="U107" s="6"/>
      <c r="V107" s="6"/>
      <c r="W107" s="6"/>
      <c r="X107" s="6"/>
      <c r="Y107" s="6"/>
      <c r="Z107" s="6"/>
      <c r="AA107" s="6"/>
      <c r="AB107" s="6"/>
      <c r="AC107" s="6"/>
      <c r="AD107" s="6"/>
    </row>
    <row r="108" spans="1:30" ht="17.5" customHeight="1">
      <c r="A108" s="6"/>
      <c r="B108" s="6"/>
      <c r="C108" s="6"/>
      <c r="D108" s="6"/>
      <c r="E108" s="6"/>
      <c r="F108" s="6"/>
      <c r="G108" s="6"/>
      <c r="H108" s="6"/>
      <c r="I108" s="6"/>
      <c r="J108" s="6"/>
      <c r="K108" s="6"/>
      <c r="L108" s="6"/>
      <c r="M108" s="6"/>
      <c r="N108" s="16"/>
      <c r="O108" s="6"/>
      <c r="P108" s="6"/>
      <c r="Q108" s="6"/>
      <c r="R108" s="6"/>
      <c r="S108" s="6"/>
      <c r="T108" s="6"/>
      <c r="U108" s="6"/>
      <c r="V108" s="6"/>
      <c r="W108" s="6"/>
      <c r="X108" s="6"/>
      <c r="Y108" s="6"/>
      <c r="Z108" s="6"/>
      <c r="AA108" s="6"/>
      <c r="AB108" s="6"/>
      <c r="AC108" s="6"/>
      <c r="AD108" s="6"/>
    </row>
    <row r="109" spans="1:30" ht="17.5" customHeight="1">
      <c r="A109" s="6"/>
      <c r="B109" s="6"/>
      <c r="C109" s="6"/>
      <c r="D109" s="6"/>
      <c r="E109" s="6"/>
      <c r="F109" s="6"/>
      <c r="G109" s="6"/>
      <c r="H109" s="6"/>
      <c r="I109" s="6"/>
      <c r="J109" s="6"/>
      <c r="K109" s="6"/>
      <c r="L109" s="6"/>
      <c r="M109" s="6"/>
      <c r="N109" s="16"/>
      <c r="O109" s="6"/>
      <c r="P109" s="6"/>
      <c r="Q109" s="6"/>
      <c r="R109" s="6"/>
      <c r="S109" s="6"/>
      <c r="T109" s="6"/>
      <c r="U109" s="6"/>
      <c r="V109" s="6"/>
      <c r="W109" s="6"/>
      <c r="X109" s="6"/>
      <c r="Y109" s="6"/>
      <c r="Z109" s="6"/>
      <c r="AA109" s="6"/>
      <c r="AB109" s="6"/>
      <c r="AC109" s="6"/>
      <c r="AD109" s="6"/>
    </row>
    <row r="110" spans="1:30" ht="17.5" customHeight="1">
      <c r="A110" s="6"/>
      <c r="B110" s="6"/>
      <c r="C110" s="6"/>
      <c r="D110" s="6"/>
      <c r="E110" s="6"/>
      <c r="F110" s="6"/>
      <c r="G110" s="6"/>
      <c r="H110" s="6"/>
      <c r="I110" s="6"/>
      <c r="J110" s="6"/>
      <c r="K110" s="6"/>
      <c r="L110" s="6"/>
      <c r="M110" s="6"/>
      <c r="N110" s="16"/>
      <c r="O110" s="6"/>
      <c r="P110" s="6"/>
      <c r="Q110" s="6"/>
      <c r="R110" s="6"/>
      <c r="S110" s="6"/>
      <c r="T110" s="6"/>
      <c r="U110" s="6"/>
      <c r="V110" s="6"/>
      <c r="W110" s="6"/>
      <c r="X110" s="6"/>
      <c r="Y110" s="6"/>
      <c r="Z110" s="6"/>
      <c r="AA110" s="6"/>
      <c r="AB110" s="6"/>
      <c r="AC110" s="6"/>
      <c r="AD110" s="6"/>
    </row>
    <row r="111" spans="1:30" ht="17.5" customHeight="1">
      <c r="A111" s="6"/>
      <c r="B111" s="6"/>
      <c r="C111" s="6"/>
      <c r="D111" s="6"/>
      <c r="E111" s="6"/>
      <c r="F111" s="6"/>
      <c r="G111" s="6"/>
      <c r="H111" s="6"/>
      <c r="I111" s="6"/>
      <c r="J111" s="6"/>
      <c r="K111" s="6"/>
      <c r="L111" s="6"/>
      <c r="M111" s="6"/>
      <c r="N111" s="16"/>
      <c r="O111" s="6"/>
      <c r="P111" s="6"/>
      <c r="Q111" s="6"/>
      <c r="R111" s="6"/>
      <c r="S111" s="6"/>
      <c r="T111" s="6"/>
      <c r="U111" s="6"/>
      <c r="V111" s="6"/>
      <c r="W111" s="6"/>
      <c r="X111" s="6"/>
      <c r="Y111" s="6"/>
      <c r="Z111" s="6"/>
      <c r="AA111" s="6"/>
      <c r="AB111" s="6"/>
      <c r="AC111" s="6"/>
      <c r="AD111" s="6"/>
    </row>
    <row r="112" spans="1:30" ht="17.5" customHeight="1">
      <c r="A112" s="6"/>
      <c r="B112" s="6"/>
      <c r="C112" s="6"/>
      <c r="D112" s="6"/>
      <c r="E112" s="6"/>
      <c r="F112" s="6"/>
      <c r="G112" s="6"/>
      <c r="H112" s="6"/>
      <c r="I112" s="6"/>
      <c r="J112" s="6"/>
      <c r="K112" s="6"/>
      <c r="L112" s="6"/>
      <c r="M112" s="6"/>
      <c r="N112" s="16"/>
      <c r="O112" s="6"/>
      <c r="P112" s="6"/>
      <c r="Q112" s="6"/>
      <c r="R112" s="6"/>
      <c r="S112" s="6"/>
      <c r="T112" s="6"/>
      <c r="U112" s="6"/>
      <c r="V112" s="6"/>
      <c r="W112" s="6"/>
      <c r="X112" s="6"/>
      <c r="Y112" s="6"/>
      <c r="Z112" s="6"/>
      <c r="AA112" s="6"/>
      <c r="AB112" s="6"/>
      <c r="AC112" s="6"/>
      <c r="AD112" s="6"/>
    </row>
    <row r="113" spans="1:30" ht="17.5" customHeight="1">
      <c r="A113" s="6"/>
      <c r="B113" s="6"/>
      <c r="C113" s="6"/>
      <c r="D113" s="6"/>
      <c r="E113" s="6"/>
      <c r="F113" s="6"/>
      <c r="G113" s="6"/>
      <c r="H113" s="6"/>
      <c r="I113" s="6"/>
      <c r="J113" s="6"/>
      <c r="K113" s="6"/>
      <c r="L113" s="6"/>
      <c r="M113" s="6"/>
      <c r="N113" s="16"/>
      <c r="O113" s="6"/>
      <c r="P113" s="6"/>
      <c r="Q113" s="6"/>
      <c r="R113" s="6"/>
      <c r="S113" s="6"/>
      <c r="T113" s="6"/>
      <c r="U113" s="6"/>
      <c r="V113" s="6"/>
      <c r="W113" s="6"/>
      <c r="X113" s="6"/>
      <c r="Y113" s="6"/>
      <c r="Z113" s="6"/>
      <c r="AA113" s="6"/>
      <c r="AB113" s="6"/>
      <c r="AC113" s="6"/>
      <c r="AD113" s="6"/>
    </row>
    <row r="114" spans="1:30" ht="17.5" customHeight="1">
      <c r="A114" s="6"/>
      <c r="B114" s="6"/>
      <c r="C114" s="6"/>
      <c r="D114" s="6"/>
      <c r="E114" s="6"/>
      <c r="F114" s="6"/>
      <c r="G114" s="6"/>
      <c r="H114" s="6"/>
      <c r="I114" s="6"/>
      <c r="J114" s="6"/>
      <c r="K114" s="6"/>
      <c r="L114" s="6"/>
      <c r="M114" s="6"/>
      <c r="N114" s="16"/>
      <c r="O114" s="6"/>
      <c r="P114" s="6"/>
      <c r="Q114" s="6"/>
      <c r="R114" s="6"/>
      <c r="S114" s="6"/>
      <c r="T114" s="6"/>
      <c r="U114" s="6"/>
      <c r="V114" s="6"/>
      <c r="W114" s="6"/>
      <c r="X114" s="6"/>
      <c r="Y114" s="6"/>
      <c r="Z114" s="6"/>
      <c r="AA114" s="6"/>
      <c r="AB114" s="6"/>
      <c r="AC114" s="6"/>
      <c r="AD114" s="6"/>
    </row>
    <row r="115" spans="1:30" ht="17.5" customHeight="1">
      <c r="A115" s="6"/>
      <c r="B115" s="6"/>
      <c r="C115" s="6"/>
      <c r="D115" s="6"/>
      <c r="E115" s="6"/>
      <c r="F115" s="6"/>
      <c r="G115" s="6"/>
      <c r="H115" s="6"/>
      <c r="I115" s="6"/>
      <c r="J115" s="6"/>
      <c r="K115" s="6"/>
      <c r="L115" s="6"/>
      <c r="M115" s="6"/>
      <c r="N115" s="16"/>
      <c r="O115" s="6"/>
      <c r="P115" s="6"/>
      <c r="Q115" s="6"/>
      <c r="R115" s="6"/>
      <c r="S115" s="6"/>
      <c r="T115" s="6"/>
      <c r="U115" s="6"/>
      <c r="V115" s="6"/>
      <c r="W115" s="6"/>
      <c r="X115" s="6"/>
      <c r="Y115" s="6"/>
      <c r="Z115" s="6"/>
      <c r="AA115" s="6"/>
      <c r="AB115" s="6"/>
      <c r="AC115" s="6"/>
      <c r="AD115" s="6"/>
    </row>
    <row r="116" spans="1:30" ht="17.5" customHeight="1">
      <c r="A116" s="6"/>
      <c r="B116" s="6"/>
      <c r="C116" s="6"/>
      <c r="D116" s="6"/>
      <c r="E116" s="6"/>
      <c r="F116" s="6"/>
      <c r="G116" s="6"/>
      <c r="H116" s="6"/>
      <c r="I116" s="6"/>
      <c r="J116" s="6"/>
      <c r="K116" s="6"/>
      <c r="L116" s="6"/>
      <c r="M116" s="6"/>
      <c r="N116" s="16"/>
      <c r="O116" s="6"/>
      <c r="P116" s="6"/>
      <c r="Q116" s="6"/>
      <c r="R116" s="6"/>
      <c r="S116" s="6"/>
      <c r="T116" s="6"/>
      <c r="U116" s="6"/>
      <c r="V116" s="6"/>
      <c r="W116" s="6"/>
      <c r="X116" s="6"/>
      <c r="Y116" s="6"/>
      <c r="Z116" s="6"/>
      <c r="AA116" s="6"/>
      <c r="AB116" s="6"/>
      <c r="AC116" s="6"/>
      <c r="AD116" s="6"/>
    </row>
    <row r="117" spans="1:30" ht="17.5" customHeight="1">
      <c r="A117" s="6"/>
      <c r="B117" s="6"/>
      <c r="C117" s="6"/>
      <c r="D117" s="6"/>
      <c r="E117" s="6"/>
      <c r="F117" s="6"/>
      <c r="G117" s="6"/>
      <c r="H117" s="6"/>
      <c r="I117" s="6"/>
      <c r="J117" s="6"/>
      <c r="K117" s="6"/>
      <c r="L117" s="6"/>
      <c r="M117" s="6"/>
      <c r="N117" s="16"/>
      <c r="O117" s="6"/>
      <c r="P117" s="6"/>
      <c r="Q117" s="6"/>
      <c r="R117" s="6"/>
      <c r="S117" s="6"/>
      <c r="T117" s="6"/>
      <c r="U117" s="6"/>
      <c r="V117" s="6"/>
      <c r="W117" s="6"/>
      <c r="X117" s="6"/>
      <c r="Y117" s="6"/>
      <c r="Z117" s="6"/>
      <c r="AA117" s="6"/>
      <c r="AB117" s="6"/>
      <c r="AC117" s="6"/>
      <c r="AD117" s="6"/>
    </row>
    <row r="118" spans="1:30" ht="17.5" customHeight="1">
      <c r="A118" s="6"/>
      <c r="B118" s="6"/>
      <c r="C118" s="6"/>
      <c r="D118" s="6"/>
      <c r="E118" s="6"/>
      <c r="F118" s="6"/>
      <c r="G118" s="6"/>
      <c r="H118" s="6"/>
      <c r="I118" s="6"/>
      <c r="J118" s="6"/>
      <c r="K118" s="6"/>
      <c r="L118" s="6"/>
      <c r="M118" s="6"/>
      <c r="N118" s="16"/>
      <c r="O118" s="6"/>
      <c r="P118" s="6"/>
      <c r="Q118" s="6"/>
      <c r="R118" s="6"/>
      <c r="S118" s="6"/>
      <c r="T118" s="6"/>
      <c r="U118" s="6"/>
      <c r="V118" s="6"/>
      <c r="W118" s="6"/>
      <c r="X118" s="6"/>
      <c r="Y118" s="6"/>
      <c r="Z118" s="6"/>
      <c r="AA118" s="6"/>
      <c r="AB118" s="6"/>
      <c r="AC118" s="6"/>
      <c r="AD118" s="6"/>
    </row>
    <row r="119" spans="1:30" ht="17.5" customHeight="1">
      <c r="A119" s="6"/>
      <c r="B119" s="6"/>
      <c r="C119" s="6"/>
      <c r="D119" s="6"/>
      <c r="E119" s="6"/>
      <c r="F119" s="6"/>
      <c r="G119" s="6"/>
      <c r="H119" s="6"/>
      <c r="I119" s="6"/>
      <c r="J119" s="6"/>
      <c r="K119" s="6"/>
      <c r="L119" s="6"/>
      <c r="M119" s="6"/>
      <c r="N119" s="16"/>
      <c r="O119" s="6"/>
      <c r="P119" s="6"/>
      <c r="Q119" s="6"/>
      <c r="R119" s="6"/>
      <c r="S119" s="6"/>
      <c r="T119" s="6"/>
      <c r="U119" s="6"/>
      <c r="V119" s="6"/>
      <c r="W119" s="6"/>
      <c r="X119" s="6"/>
      <c r="Y119" s="6"/>
      <c r="Z119" s="6"/>
      <c r="AA119" s="6"/>
      <c r="AB119" s="6"/>
      <c r="AC119" s="6"/>
      <c r="AD119" s="6"/>
    </row>
    <row r="120" spans="1:30" ht="17.5" customHeight="1">
      <c r="A120" s="6"/>
      <c r="B120" s="6"/>
      <c r="C120" s="6"/>
      <c r="D120" s="6"/>
      <c r="E120" s="6"/>
      <c r="F120" s="6"/>
      <c r="G120" s="6"/>
      <c r="H120" s="6"/>
      <c r="I120" s="6"/>
      <c r="J120" s="6"/>
      <c r="K120" s="6"/>
      <c r="L120" s="6"/>
      <c r="M120" s="6"/>
      <c r="N120" s="16"/>
      <c r="O120" s="6"/>
      <c r="P120" s="6"/>
      <c r="Q120" s="6"/>
      <c r="R120" s="6"/>
      <c r="S120" s="6"/>
      <c r="T120" s="6"/>
      <c r="U120" s="6"/>
      <c r="V120" s="6"/>
      <c r="W120" s="6"/>
      <c r="X120" s="6"/>
      <c r="Y120" s="6"/>
      <c r="Z120" s="6"/>
      <c r="AA120" s="6"/>
      <c r="AB120" s="6"/>
      <c r="AC120" s="6"/>
      <c r="AD120" s="6"/>
    </row>
    <row r="121" spans="1:30" ht="17.5" customHeight="1">
      <c r="A121" s="6"/>
      <c r="B121" s="6"/>
      <c r="C121" s="6"/>
      <c r="D121" s="6"/>
      <c r="E121" s="6"/>
      <c r="F121" s="6"/>
      <c r="G121" s="6"/>
      <c r="H121" s="6"/>
      <c r="I121" s="6"/>
      <c r="J121" s="6"/>
      <c r="K121" s="6"/>
      <c r="L121" s="6"/>
      <c r="M121" s="6"/>
      <c r="N121" s="16"/>
      <c r="O121" s="6"/>
      <c r="P121" s="6"/>
      <c r="Q121" s="6"/>
      <c r="R121" s="6"/>
      <c r="S121" s="6"/>
      <c r="T121" s="6"/>
      <c r="U121" s="6"/>
      <c r="V121" s="6"/>
      <c r="W121" s="6"/>
      <c r="X121" s="6"/>
      <c r="Y121" s="6"/>
      <c r="Z121" s="6"/>
      <c r="AA121" s="6"/>
      <c r="AB121" s="6"/>
      <c r="AC121" s="6"/>
      <c r="AD121" s="6"/>
    </row>
    <row r="122" spans="1:30" ht="17.5" customHeight="1">
      <c r="A122" s="6"/>
      <c r="B122" s="6"/>
      <c r="C122" s="6"/>
      <c r="D122" s="6"/>
      <c r="E122" s="6"/>
      <c r="F122" s="6"/>
      <c r="G122" s="6"/>
      <c r="H122" s="6"/>
      <c r="I122" s="6"/>
      <c r="J122" s="6"/>
      <c r="K122" s="6"/>
      <c r="L122" s="6"/>
      <c r="M122" s="6"/>
      <c r="N122" s="16"/>
      <c r="O122" s="6"/>
      <c r="P122" s="6"/>
      <c r="Q122" s="6"/>
      <c r="R122" s="6"/>
      <c r="S122" s="6"/>
      <c r="T122" s="6"/>
      <c r="U122" s="6"/>
      <c r="V122" s="6"/>
      <c r="W122" s="6"/>
      <c r="X122" s="6"/>
      <c r="Y122" s="6"/>
      <c r="Z122" s="6"/>
      <c r="AA122" s="6"/>
      <c r="AB122" s="6"/>
      <c r="AC122" s="6"/>
      <c r="AD122" s="6"/>
    </row>
    <row r="123" spans="1:30" ht="17.5" customHeight="1">
      <c r="A123" s="6"/>
      <c r="B123" s="6"/>
      <c r="C123" s="6"/>
      <c r="D123" s="6"/>
      <c r="E123" s="6"/>
      <c r="F123" s="6"/>
      <c r="G123" s="6"/>
      <c r="H123" s="6"/>
      <c r="I123" s="6"/>
      <c r="J123" s="6"/>
      <c r="K123" s="6"/>
      <c r="L123" s="6"/>
      <c r="M123" s="6"/>
      <c r="N123" s="16"/>
      <c r="O123" s="6"/>
      <c r="P123" s="6"/>
      <c r="Q123" s="6"/>
      <c r="R123" s="6"/>
      <c r="S123" s="6"/>
      <c r="T123" s="6"/>
      <c r="U123" s="6"/>
      <c r="V123" s="6"/>
      <c r="W123" s="6"/>
      <c r="X123" s="6"/>
      <c r="Y123" s="6"/>
      <c r="Z123" s="6"/>
      <c r="AA123" s="6"/>
      <c r="AB123" s="6"/>
      <c r="AC123" s="6"/>
      <c r="AD123" s="6"/>
    </row>
    <row r="124" spans="1:30" ht="17.5" customHeight="1">
      <c r="A124" s="6"/>
      <c r="B124" s="6"/>
      <c r="C124" s="6"/>
      <c r="D124" s="6"/>
      <c r="E124" s="6"/>
      <c r="F124" s="6"/>
      <c r="G124" s="6"/>
      <c r="H124" s="6"/>
      <c r="I124" s="6"/>
      <c r="J124" s="6"/>
      <c r="K124" s="6"/>
      <c r="L124" s="6"/>
      <c r="M124" s="6"/>
      <c r="N124" s="16"/>
      <c r="O124" s="6"/>
      <c r="P124" s="6"/>
      <c r="Q124" s="6"/>
      <c r="R124" s="6"/>
      <c r="S124" s="6"/>
      <c r="T124" s="6"/>
      <c r="U124" s="6"/>
      <c r="V124" s="6"/>
      <c r="W124" s="6"/>
      <c r="X124" s="6"/>
      <c r="Y124" s="6"/>
      <c r="Z124" s="6"/>
      <c r="AA124" s="6"/>
      <c r="AB124" s="6"/>
      <c r="AC124" s="6"/>
      <c r="AD124" s="6"/>
    </row>
    <row r="125" spans="1:30" ht="17.5" customHeight="1">
      <c r="A125" s="6"/>
      <c r="B125" s="6"/>
      <c r="C125" s="6"/>
      <c r="D125" s="6"/>
      <c r="E125" s="6"/>
      <c r="F125" s="6"/>
      <c r="G125" s="6"/>
      <c r="H125" s="6"/>
      <c r="I125" s="6"/>
      <c r="J125" s="6"/>
      <c r="K125" s="6"/>
      <c r="L125" s="6"/>
      <c r="M125" s="6"/>
      <c r="N125" s="16"/>
      <c r="O125" s="6"/>
      <c r="P125" s="6"/>
      <c r="Q125" s="6"/>
      <c r="R125" s="6"/>
      <c r="S125" s="6"/>
      <c r="T125" s="6"/>
      <c r="U125" s="6"/>
      <c r="V125" s="6"/>
      <c r="W125" s="6"/>
      <c r="X125" s="6"/>
      <c r="Y125" s="6"/>
      <c r="Z125" s="6"/>
      <c r="AA125" s="6"/>
      <c r="AB125" s="6"/>
      <c r="AC125" s="6"/>
      <c r="AD125" s="6"/>
    </row>
    <row r="126" spans="1:30" ht="17.5" customHeight="1">
      <c r="A126" s="6"/>
      <c r="B126" s="6"/>
      <c r="C126" s="6"/>
      <c r="D126" s="6"/>
      <c r="E126" s="6"/>
      <c r="F126" s="6"/>
      <c r="G126" s="6"/>
      <c r="H126" s="6"/>
      <c r="I126" s="6"/>
      <c r="J126" s="6"/>
      <c r="K126" s="6"/>
      <c r="L126" s="6"/>
      <c r="M126" s="6"/>
      <c r="N126" s="16"/>
      <c r="O126" s="6"/>
      <c r="P126" s="6"/>
      <c r="Q126" s="6"/>
      <c r="R126" s="6"/>
      <c r="S126" s="6"/>
      <c r="T126" s="6"/>
      <c r="U126" s="6"/>
      <c r="V126" s="6"/>
      <c r="W126" s="6"/>
      <c r="X126" s="6"/>
      <c r="Y126" s="6"/>
      <c r="Z126" s="6"/>
      <c r="AA126" s="6"/>
      <c r="AB126" s="6"/>
      <c r="AC126" s="6"/>
      <c r="AD126" s="6"/>
    </row>
    <row r="127" spans="1:30" ht="17.5" customHeight="1">
      <c r="A127" s="6"/>
      <c r="B127" s="6"/>
      <c r="C127" s="6"/>
      <c r="D127" s="6"/>
      <c r="E127" s="6"/>
      <c r="F127" s="6"/>
      <c r="G127" s="6"/>
      <c r="H127" s="6"/>
      <c r="I127" s="6"/>
      <c r="J127" s="6"/>
      <c r="K127" s="6"/>
      <c r="L127" s="6"/>
      <c r="M127" s="6"/>
      <c r="N127" s="16"/>
      <c r="O127" s="6"/>
      <c r="P127" s="6"/>
      <c r="Q127" s="6"/>
      <c r="R127" s="6"/>
      <c r="S127" s="6"/>
      <c r="T127" s="6"/>
      <c r="U127" s="6"/>
      <c r="V127" s="6"/>
      <c r="W127" s="6"/>
      <c r="X127" s="6"/>
      <c r="Y127" s="6"/>
      <c r="Z127" s="6"/>
      <c r="AA127" s="6"/>
      <c r="AB127" s="6"/>
      <c r="AC127" s="6"/>
      <c r="AD127" s="6"/>
    </row>
    <row r="128" spans="1:30" ht="17.5" customHeight="1">
      <c r="A128" s="6"/>
      <c r="B128" s="6"/>
      <c r="C128" s="6"/>
      <c r="D128" s="6"/>
      <c r="E128" s="6"/>
      <c r="F128" s="6"/>
      <c r="G128" s="6"/>
      <c r="H128" s="6"/>
      <c r="I128" s="6"/>
      <c r="J128" s="6"/>
      <c r="K128" s="6"/>
      <c r="L128" s="6"/>
      <c r="M128" s="6"/>
      <c r="N128" s="16"/>
      <c r="O128" s="6"/>
      <c r="P128" s="6"/>
      <c r="Q128" s="6"/>
      <c r="R128" s="6"/>
      <c r="S128" s="6"/>
      <c r="T128" s="6"/>
      <c r="U128" s="6"/>
      <c r="V128" s="6"/>
      <c r="W128" s="6"/>
      <c r="X128" s="6"/>
      <c r="Y128" s="6"/>
      <c r="Z128" s="6"/>
      <c r="AA128" s="6"/>
      <c r="AB128" s="6"/>
      <c r="AC128" s="6"/>
      <c r="AD128" s="6"/>
    </row>
    <row r="129" spans="1:30" ht="17.5" customHeight="1">
      <c r="A129" s="6"/>
      <c r="B129" s="6"/>
      <c r="C129" s="6"/>
      <c r="D129" s="6"/>
      <c r="E129" s="6"/>
      <c r="F129" s="6"/>
      <c r="G129" s="6"/>
      <c r="H129" s="6"/>
      <c r="I129" s="6"/>
      <c r="J129" s="6"/>
      <c r="K129" s="6"/>
      <c r="L129" s="6"/>
      <c r="M129" s="6"/>
      <c r="N129" s="16"/>
      <c r="O129" s="6"/>
      <c r="P129" s="6"/>
      <c r="Q129" s="6"/>
      <c r="R129" s="6"/>
      <c r="S129" s="6"/>
      <c r="T129" s="6"/>
      <c r="U129" s="6"/>
      <c r="V129" s="6"/>
      <c r="W129" s="6"/>
      <c r="X129" s="6"/>
      <c r="Y129" s="6"/>
      <c r="Z129" s="6"/>
      <c r="AA129" s="6"/>
      <c r="AB129" s="6"/>
      <c r="AC129" s="6"/>
      <c r="AD129" s="6"/>
    </row>
    <row r="130" spans="1:30" ht="17.5" customHeight="1">
      <c r="A130" s="6"/>
      <c r="B130" s="6"/>
      <c r="C130" s="6"/>
      <c r="D130" s="6"/>
      <c r="E130" s="6"/>
      <c r="F130" s="6"/>
      <c r="G130" s="6"/>
      <c r="H130" s="6"/>
      <c r="I130" s="6"/>
      <c r="J130" s="6"/>
      <c r="K130" s="6"/>
      <c r="L130" s="6"/>
      <c r="M130" s="6"/>
      <c r="N130" s="16"/>
      <c r="O130" s="6"/>
      <c r="P130" s="6"/>
      <c r="Q130" s="6"/>
      <c r="R130" s="6"/>
      <c r="S130" s="6"/>
      <c r="T130" s="6"/>
      <c r="U130" s="6"/>
      <c r="V130" s="6"/>
      <c r="W130" s="6"/>
      <c r="X130" s="6"/>
      <c r="Y130" s="6"/>
      <c r="Z130" s="6"/>
      <c r="AA130" s="6"/>
      <c r="AB130" s="6"/>
      <c r="AC130" s="6"/>
      <c r="AD130" s="6"/>
    </row>
    <row r="131" spans="1:30" ht="17.5" customHeight="1">
      <c r="A131" s="6"/>
      <c r="B131" s="6"/>
      <c r="C131" s="6"/>
      <c r="D131" s="6"/>
      <c r="E131" s="6"/>
      <c r="F131" s="6"/>
      <c r="G131" s="6"/>
      <c r="H131" s="6"/>
      <c r="I131" s="6"/>
      <c r="J131" s="6"/>
      <c r="K131" s="6"/>
      <c r="L131" s="6"/>
      <c r="M131" s="6"/>
      <c r="N131" s="16"/>
      <c r="O131" s="6"/>
      <c r="P131" s="6"/>
      <c r="Q131" s="6"/>
      <c r="R131" s="6"/>
      <c r="S131" s="6"/>
      <c r="T131" s="6"/>
      <c r="U131" s="6"/>
      <c r="V131" s="6"/>
      <c r="W131" s="6"/>
      <c r="X131" s="6"/>
      <c r="Y131" s="6"/>
      <c r="Z131" s="6"/>
      <c r="AA131" s="6"/>
      <c r="AB131" s="6"/>
      <c r="AC131" s="6"/>
      <c r="AD131" s="6"/>
    </row>
    <row r="132" spans="1:30" ht="17.5" customHeight="1">
      <c r="A132" s="6"/>
      <c r="B132" s="6"/>
      <c r="C132" s="6"/>
      <c r="D132" s="6"/>
      <c r="E132" s="6"/>
      <c r="F132" s="6"/>
      <c r="G132" s="6"/>
      <c r="H132" s="6"/>
      <c r="I132" s="6"/>
      <c r="J132" s="6"/>
      <c r="K132" s="6"/>
      <c r="L132" s="6"/>
      <c r="M132" s="6"/>
      <c r="N132" s="16"/>
      <c r="O132" s="6"/>
      <c r="P132" s="6"/>
      <c r="Q132" s="6"/>
      <c r="R132" s="6"/>
      <c r="S132" s="6"/>
      <c r="T132" s="6"/>
      <c r="U132" s="6"/>
      <c r="V132" s="6"/>
      <c r="W132" s="6"/>
      <c r="X132" s="6"/>
      <c r="Y132" s="6"/>
      <c r="Z132" s="6"/>
      <c r="AA132" s="6"/>
      <c r="AB132" s="6"/>
      <c r="AC132" s="6"/>
      <c r="AD132" s="6"/>
    </row>
    <row r="133" spans="1:30" ht="17.5" customHeight="1">
      <c r="A133" s="6"/>
      <c r="B133" s="6"/>
      <c r="C133" s="6"/>
      <c r="D133" s="6"/>
      <c r="E133" s="6"/>
      <c r="F133" s="6"/>
      <c r="G133" s="6"/>
      <c r="H133" s="6"/>
      <c r="I133" s="6"/>
      <c r="J133" s="6"/>
      <c r="K133" s="6"/>
      <c r="L133" s="6"/>
      <c r="M133" s="6"/>
      <c r="N133" s="16"/>
      <c r="O133" s="6"/>
      <c r="P133" s="6"/>
      <c r="Q133" s="6"/>
      <c r="R133" s="6"/>
      <c r="S133" s="6"/>
      <c r="T133" s="6"/>
      <c r="U133" s="6"/>
      <c r="V133" s="6"/>
      <c r="W133" s="6"/>
      <c r="X133" s="6"/>
      <c r="Y133" s="6"/>
      <c r="Z133" s="6"/>
      <c r="AA133" s="6"/>
      <c r="AB133" s="6"/>
      <c r="AC133" s="6"/>
      <c r="AD133" s="6"/>
    </row>
    <row r="134" spans="1:30" ht="17.5" customHeight="1">
      <c r="A134" s="6"/>
      <c r="B134" s="6"/>
      <c r="C134" s="6"/>
      <c r="D134" s="6"/>
      <c r="E134" s="6"/>
      <c r="F134" s="6"/>
      <c r="G134" s="6"/>
      <c r="H134" s="6"/>
      <c r="I134" s="6"/>
      <c r="J134" s="6"/>
      <c r="K134" s="6"/>
      <c r="L134" s="6"/>
      <c r="M134" s="6"/>
      <c r="N134" s="16"/>
      <c r="O134" s="6"/>
      <c r="P134" s="6"/>
      <c r="Q134" s="6"/>
      <c r="R134" s="6"/>
      <c r="S134" s="6"/>
      <c r="T134" s="6"/>
      <c r="U134" s="6"/>
      <c r="V134" s="6"/>
      <c r="W134" s="6"/>
      <c r="X134" s="6"/>
      <c r="Y134" s="6"/>
      <c r="Z134" s="6"/>
      <c r="AA134" s="6"/>
      <c r="AB134" s="6"/>
      <c r="AC134" s="6"/>
      <c r="AD134" s="6"/>
    </row>
    <row r="135" spans="1:30" ht="13.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row>
    <row r="136" spans="1:30" ht="13.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row>
    <row r="137" spans="1:30" ht="13.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row>
    <row r="138" spans="1:30" ht="13.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row>
    <row r="139" spans="1:30" ht="13.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row>
    <row r="140" spans="1:30" ht="13.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row>
    <row r="141" spans="1:30" ht="13.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row>
    <row r="142" spans="1:30" ht="13.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row>
    <row r="143" spans="1:30" ht="13.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row>
    <row r="144" spans="1:30" ht="13.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row>
    <row r="145" spans="1:30" ht="13.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row>
    <row r="146" spans="1:30" ht="13.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row>
    <row r="147" spans="1:30" ht="13.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row>
    <row r="148" spans="1:30" ht="13.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row>
    <row r="149" spans="1:30" ht="13.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row>
    <row r="150" spans="1:30" ht="13.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row>
    <row r="151" spans="1:30" ht="13.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row>
    <row r="152" spans="1:30" ht="13.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row>
    <row r="153" spans="1:30" ht="13.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row>
    <row r="154" spans="1:30" ht="13.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row>
    <row r="155" spans="1:30" ht="13.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row>
    <row r="156" spans="1:30" ht="17.5" customHeight="1">
      <c r="A156" s="6"/>
      <c r="B156" s="6"/>
      <c r="C156" s="6"/>
      <c r="D156" s="6"/>
      <c r="E156" s="6"/>
      <c r="F156" s="6"/>
      <c r="G156" s="6"/>
      <c r="H156" s="6"/>
      <c r="I156" s="6"/>
      <c r="J156" s="6"/>
      <c r="K156" s="6"/>
      <c r="L156" s="6"/>
      <c r="M156" s="6"/>
      <c r="N156" s="16"/>
      <c r="O156" s="6"/>
      <c r="P156" s="6"/>
      <c r="Q156" s="6"/>
      <c r="R156" s="6"/>
      <c r="S156" s="6"/>
      <c r="T156" s="6"/>
      <c r="U156" s="6"/>
      <c r="V156" s="6"/>
      <c r="W156" s="6"/>
      <c r="X156" s="6"/>
      <c r="Y156" s="6"/>
      <c r="Z156" s="6"/>
      <c r="AA156" s="6"/>
      <c r="AB156" s="6"/>
      <c r="AC156" s="6"/>
      <c r="AD156" s="6"/>
    </row>
  </sheetData>
  <pageMargins left="0.75" right="0.75" top="1" bottom="1" header="0.5" footer="0.5"/>
  <pageSetup scale="65" orientation="landscape"/>
  <headerFooter>
    <oddFooter>&amp;C&amp;"Helvetica Neue,Regular"&amp;12&amp;K000000&amp;P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69"/>
  <sheetViews>
    <sheetView showGridLines="0" workbookViewId="0"/>
  </sheetViews>
  <sheetFormatPr baseColWidth="10" defaultColWidth="8.83203125" defaultRowHeight="16" customHeight="1"/>
  <cols>
    <col min="1" max="1" width="8.83203125" style="4" customWidth="1"/>
    <col min="2" max="2" width="15.6640625" style="4" customWidth="1"/>
    <col min="3" max="3" width="13.5" style="4" customWidth="1"/>
    <col min="4" max="4" width="12.83203125" style="4" customWidth="1"/>
    <col min="5" max="6" width="10.5" style="4" customWidth="1"/>
    <col min="7" max="7" width="13.5" style="4" customWidth="1"/>
    <col min="8" max="8" width="8.83203125" style="4" customWidth="1"/>
    <col min="9" max="16384" width="8.83203125" style="4"/>
  </cols>
  <sheetData>
    <row r="1" spans="1:7" ht="17.5" customHeight="1">
      <c r="A1" s="8" t="s">
        <v>367</v>
      </c>
      <c r="B1" s="6"/>
      <c r="C1" s="6"/>
      <c r="D1" s="6"/>
      <c r="E1" s="6"/>
      <c r="F1" s="6"/>
      <c r="G1" s="6"/>
    </row>
    <row r="2" spans="1:7" ht="17.5" customHeight="1">
      <c r="A2" s="8" t="s">
        <v>368</v>
      </c>
      <c r="B2" s="6"/>
      <c r="C2" s="6"/>
      <c r="D2" s="6"/>
      <c r="E2" s="6"/>
      <c r="F2" s="6"/>
      <c r="G2" s="6"/>
    </row>
    <row r="3" spans="1:7" ht="17.5" customHeight="1">
      <c r="A3" s="8" t="s">
        <v>369</v>
      </c>
      <c r="B3" s="6"/>
      <c r="C3" s="6"/>
      <c r="D3" s="6"/>
      <c r="E3" s="6"/>
      <c r="F3" s="6"/>
      <c r="G3" s="6"/>
    </row>
    <row r="4" spans="1:7" ht="13.75" customHeight="1">
      <c r="A4" s="6"/>
      <c r="B4" s="6"/>
      <c r="C4" s="6"/>
      <c r="D4" s="6"/>
      <c r="E4" s="6"/>
      <c r="F4" s="6"/>
      <c r="G4" s="6"/>
    </row>
    <row r="5" spans="1:7" ht="13.75" customHeight="1">
      <c r="A5" s="6"/>
      <c r="B5" s="6"/>
      <c r="C5" s="6"/>
      <c r="D5" s="6"/>
      <c r="E5" s="6"/>
      <c r="F5" s="6"/>
      <c r="G5" s="6"/>
    </row>
    <row r="6" spans="1:7" ht="13.75" customHeight="1">
      <c r="A6" s="6"/>
      <c r="B6" s="6"/>
      <c r="C6" s="6"/>
      <c r="D6" s="6"/>
      <c r="E6" s="6"/>
      <c r="F6" s="6"/>
      <c r="G6" s="6"/>
    </row>
    <row r="7" spans="1:7" ht="13.75" customHeight="1">
      <c r="A7" s="6"/>
      <c r="B7" s="6"/>
      <c r="C7" s="6"/>
      <c r="D7" s="6"/>
      <c r="E7" s="6"/>
      <c r="F7" s="6"/>
      <c r="G7" s="6"/>
    </row>
    <row r="8" spans="1:7" ht="68" customHeight="1">
      <c r="A8" s="8" t="s">
        <v>95</v>
      </c>
      <c r="B8" s="12" t="s">
        <v>370</v>
      </c>
      <c r="C8" s="12" t="s">
        <v>371</v>
      </c>
      <c r="D8" s="12" t="s">
        <v>372</v>
      </c>
      <c r="E8" s="12" t="s">
        <v>373</v>
      </c>
      <c r="F8" s="12" t="s">
        <v>374</v>
      </c>
      <c r="G8" s="12" t="s">
        <v>375</v>
      </c>
    </row>
    <row r="9" spans="1:7" ht="17.5" customHeight="1">
      <c r="A9" s="22">
        <v>1869</v>
      </c>
      <c r="B9" s="22">
        <v>403</v>
      </c>
      <c r="C9" s="22">
        <v>1457</v>
      </c>
      <c r="D9" s="25">
        <f t="shared" ref="D9:D40" si="0">(B9/C9)*100</f>
        <v>27.659574468085108</v>
      </c>
      <c r="E9" s="69">
        <f t="shared" ref="E9:E40" si="1">D9/$D$9</f>
        <v>1</v>
      </c>
      <c r="F9" s="69">
        <f>E9*('S20-Rhode Table 3'!$F$12/'S19-Rhode Table 1 &amp; 2'!$F$39)</f>
        <v>1.148997134670487</v>
      </c>
      <c r="G9" s="17">
        <f t="shared" ref="G9:G40" si="2">B9/F9</f>
        <v>350.7406483790524</v>
      </c>
    </row>
    <row r="10" spans="1:7" ht="17.5" customHeight="1">
      <c r="A10" s="22">
        <v>1870</v>
      </c>
      <c r="B10" s="22">
        <v>400</v>
      </c>
      <c r="C10" s="22">
        <v>1419</v>
      </c>
      <c r="D10" s="25">
        <f t="shared" si="0"/>
        <v>28.188865398167724</v>
      </c>
      <c r="E10" s="69">
        <f t="shared" si="1"/>
        <v>1.019135902856833</v>
      </c>
      <c r="F10" s="69">
        <f>E10*('S20-Rhode Table 3'!$F$12/'S19-Rhode Table 1 &amp; 2'!$F$39)</f>
        <v>1.170984232222321</v>
      </c>
      <c r="G10" s="17">
        <f t="shared" si="2"/>
        <v>341.5929856210538</v>
      </c>
    </row>
    <row r="11" spans="1:7" ht="17.5" customHeight="1">
      <c r="A11" s="22">
        <v>1871</v>
      </c>
      <c r="B11" s="22">
        <v>424</v>
      </c>
      <c r="C11" s="22">
        <v>1401</v>
      </c>
      <c r="D11" s="25">
        <f t="shared" si="0"/>
        <v>30.264097073518915</v>
      </c>
      <c r="E11" s="69">
        <f t="shared" si="1"/>
        <v>1.0941635095810684</v>
      </c>
      <c r="F11" s="69">
        <f>E11*('S20-Rhode Table 3'!$F$12/'S19-Rhode Table 1 &amp; 2'!$F$39)</f>
        <v>1.2571907373696516</v>
      </c>
      <c r="G11" s="17">
        <f t="shared" si="2"/>
        <v>337.25988220937023</v>
      </c>
    </row>
    <row r="12" spans="1:7" ht="17.5" customHeight="1">
      <c r="A12" s="22">
        <v>1872</v>
      </c>
      <c r="B12" s="22">
        <v>562</v>
      </c>
      <c r="C12" s="22">
        <v>1893</v>
      </c>
      <c r="D12" s="25">
        <f t="shared" si="0"/>
        <v>29.688325409403067</v>
      </c>
      <c r="E12" s="69">
        <f t="shared" si="1"/>
        <v>1.07334714941688</v>
      </c>
      <c r="F12" s="69">
        <f>E12*('S20-Rhode Table 3'!$F$12/'S19-Rhode Table 1 &amp; 2'!$F$39)</f>
        <v>1.2332727991867303</v>
      </c>
      <c r="G12" s="17">
        <f t="shared" si="2"/>
        <v>455.69804212872077</v>
      </c>
    </row>
    <row r="13" spans="1:7" ht="17.5" customHeight="1">
      <c r="A13" s="22">
        <v>1873</v>
      </c>
      <c r="B13" s="22">
        <v>528</v>
      </c>
      <c r="C13" s="22">
        <v>2009</v>
      </c>
      <c r="D13" s="25">
        <f t="shared" si="0"/>
        <v>26.281732205077152</v>
      </c>
      <c r="E13" s="69">
        <f t="shared" si="1"/>
        <v>0.9501857027989431</v>
      </c>
      <c r="F13" s="69">
        <f>E13*('S20-Rhode Table 3'!$F$12/'S19-Rhode Table 1 &amp; 2'!$F$39)</f>
        <v>1.0917606499208485</v>
      </c>
      <c r="G13" s="17">
        <f t="shared" si="2"/>
        <v>483.62248633734822</v>
      </c>
    </row>
    <row r="14" spans="1:7" ht="17.5" customHeight="1">
      <c r="A14" s="22">
        <v>1874</v>
      </c>
      <c r="B14" s="22">
        <v>473</v>
      </c>
      <c r="C14" s="22">
        <v>1792</v>
      </c>
      <c r="D14" s="25">
        <f t="shared" si="0"/>
        <v>26.395089285714285</v>
      </c>
      <c r="E14" s="69">
        <f t="shared" si="1"/>
        <v>0.95428399725274715</v>
      </c>
      <c r="F14" s="69">
        <f>E14*('S20-Rhode Table 3'!$F$12/'S19-Rhode Table 1 &amp; 2'!$F$39)</f>
        <v>1.0964695785053054</v>
      </c>
      <c r="G14" s="17">
        <f t="shared" si="2"/>
        <v>431.38451742982977</v>
      </c>
    </row>
    <row r="15" spans="1:7" ht="17.5" customHeight="1">
      <c r="A15" s="22">
        <v>1875</v>
      </c>
      <c r="B15" s="22">
        <v>487</v>
      </c>
      <c r="C15" s="22">
        <v>2113</v>
      </c>
      <c r="D15" s="25">
        <f t="shared" si="0"/>
        <v>23.047799337434927</v>
      </c>
      <c r="E15" s="69">
        <f t="shared" si="1"/>
        <v>0.83326659143033965</v>
      </c>
      <c r="F15" s="69">
        <f>E15*('S20-Rhode Table 3'!$F$12/'S19-Rhode Table 1 &amp; 2'!$F$39)</f>
        <v>0.95742092597010364</v>
      </c>
      <c r="G15" s="17">
        <f t="shared" si="2"/>
        <v>508.65819493818651</v>
      </c>
    </row>
    <row r="16" spans="1:7" ht="17.5" customHeight="1">
      <c r="A16" s="22">
        <v>1876</v>
      </c>
      <c r="B16" s="22">
        <v>452</v>
      </c>
      <c r="C16" s="22">
        <v>2142</v>
      </c>
      <c r="D16" s="25">
        <f t="shared" si="0"/>
        <v>21.101774042950513</v>
      </c>
      <c r="E16" s="69">
        <f t="shared" si="1"/>
        <v>0.76291029232205698</v>
      </c>
      <c r="F16" s="69">
        <f>E16*('S20-Rhode Table 3'!$F$12/'S19-Rhode Table 1 &amp; 2'!$F$39)</f>
        <v>0.87658173988866717</v>
      </c>
      <c r="G16" s="17">
        <f t="shared" si="2"/>
        <v>515.63930599034336</v>
      </c>
    </row>
    <row r="17" spans="1:7" ht="17.5" customHeight="1">
      <c r="A17" s="22">
        <v>1877</v>
      </c>
      <c r="B17" s="22">
        <v>457</v>
      </c>
      <c r="C17" s="22">
        <v>2975</v>
      </c>
      <c r="D17" s="25">
        <f t="shared" si="0"/>
        <v>15.361344537815125</v>
      </c>
      <c r="E17" s="69">
        <f t="shared" si="1"/>
        <v>0.55537168713639296</v>
      </c>
      <c r="F17" s="69">
        <f>E17*('S20-Rhode Table 3'!$F$12/'S19-Rhode Table 1 &amp; 2'!$F$39)</f>
        <v>0.63812047719682974</v>
      </c>
      <c r="G17" s="17">
        <f t="shared" si="2"/>
        <v>716.16570276436573</v>
      </c>
    </row>
    <row r="18" spans="1:7" ht="17.5" customHeight="1">
      <c r="A18" s="22">
        <v>1878</v>
      </c>
      <c r="B18" s="22">
        <v>427</v>
      </c>
      <c r="C18" s="22">
        <v>2359</v>
      </c>
      <c r="D18" s="25">
        <f t="shared" si="0"/>
        <v>18.100890207715135</v>
      </c>
      <c r="E18" s="69">
        <f t="shared" si="1"/>
        <v>0.65441679981739331</v>
      </c>
      <c r="F18" s="69">
        <f>E18*('S20-Rhode Table 3'!$F$12/'S19-Rhode Table 1 &amp; 2'!$F$39)</f>
        <v>0.75192302787041465</v>
      </c>
      <c r="G18" s="17">
        <f t="shared" si="2"/>
        <v>567.87727489786175</v>
      </c>
    </row>
    <row r="19" spans="1:7" ht="17.5" customHeight="1">
      <c r="A19" s="22">
        <v>1879</v>
      </c>
      <c r="B19" s="22">
        <v>478</v>
      </c>
      <c r="C19" s="22">
        <v>2815</v>
      </c>
      <c r="D19" s="25">
        <f t="shared" si="0"/>
        <v>16.980461811722915</v>
      </c>
      <c r="E19" s="69">
        <f t="shared" si="1"/>
        <v>0.61390900396228998</v>
      </c>
      <c r="F19" s="69">
        <f>E19*('S20-Rhode Table 3'!$F$12/'S19-Rhode Table 1 &amp; 2'!$F$39)</f>
        <v>0.70537968650108385</v>
      </c>
      <c r="G19" s="17">
        <f t="shared" si="2"/>
        <v>677.64922799384522</v>
      </c>
    </row>
    <row r="20" spans="1:7" ht="17.5" customHeight="1">
      <c r="A20" s="22">
        <v>1880</v>
      </c>
      <c r="B20" s="22">
        <v>618</v>
      </c>
      <c r="C20" s="22">
        <v>2973</v>
      </c>
      <c r="D20" s="25">
        <f t="shared" si="0"/>
        <v>20.787083753784056</v>
      </c>
      <c r="E20" s="69">
        <f t="shared" si="1"/>
        <v>0.75153302802142352</v>
      </c>
      <c r="F20" s="69">
        <f>E20*('S20-Rhode Table 3'!$F$12/'S19-Rhode Table 1 &amp; 2'!$F$39)</f>
        <v>0.86350929580685043</v>
      </c>
      <c r="G20" s="17">
        <f t="shared" si="2"/>
        <v>715.68424682973432</v>
      </c>
    </row>
    <row r="21" spans="1:7" ht="17.5" customHeight="1">
      <c r="A21" s="22">
        <v>1881</v>
      </c>
      <c r="B21" s="22">
        <v>622</v>
      </c>
      <c r="C21" s="22">
        <v>3262</v>
      </c>
      <c r="D21" s="25">
        <f t="shared" si="0"/>
        <v>19.068056407112202</v>
      </c>
      <c r="E21" s="69">
        <f t="shared" si="1"/>
        <v>0.689383577795595</v>
      </c>
      <c r="F21" s="69">
        <f>E21*('S20-Rhode Table 3'!$F$12/'S19-Rhode Table 1 &amp; 2'!$F$39)</f>
        <v>0.79209975557602741</v>
      </c>
      <c r="G21" s="17">
        <f t="shared" si="2"/>
        <v>785.25462938398687</v>
      </c>
    </row>
    <row r="22" spans="1:7" ht="17.5" customHeight="1">
      <c r="A22" s="22">
        <v>1882</v>
      </c>
      <c r="B22" s="22">
        <v>669</v>
      </c>
      <c r="C22" s="22">
        <v>3484</v>
      </c>
      <c r="D22" s="25">
        <f t="shared" si="0"/>
        <v>19.202066590126289</v>
      </c>
      <c r="E22" s="69">
        <f t="shared" si="1"/>
        <v>0.69422856133533506</v>
      </c>
      <c r="F22" s="69">
        <f>E22*('S20-Rhode Table 3'!$F$12/'S19-Rhode Table 1 &amp; 2'!$F$39)</f>
        <v>0.7976666277807144</v>
      </c>
      <c r="G22" s="17">
        <f t="shared" si="2"/>
        <v>838.69623812808425</v>
      </c>
    </row>
    <row r="23" spans="1:7" ht="17.5" customHeight="1">
      <c r="A23" s="22">
        <v>1883</v>
      </c>
      <c r="B23" s="22">
        <v>665</v>
      </c>
      <c r="C23" s="22">
        <v>3504</v>
      </c>
      <c r="D23" s="25">
        <f t="shared" si="0"/>
        <v>18.978310502283104</v>
      </c>
      <c r="E23" s="69">
        <f t="shared" si="1"/>
        <v>0.68613891815946604</v>
      </c>
      <c r="F23" s="69">
        <f>E23*('S20-Rhode Table 3'!$F$12/'S19-Rhode Table 1 &amp; 2'!$F$39)</f>
        <v>0.78837165095113426</v>
      </c>
      <c r="G23" s="17">
        <f t="shared" si="2"/>
        <v>843.51079747439928</v>
      </c>
    </row>
    <row r="24" spans="1:7" ht="17.5" customHeight="1">
      <c r="A24" s="22">
        <v>1884</v>
      </c>
      <c r="B24" s="22">
        <v>649</v>
      </c>
      <c r="C24" s="22">
        <v>3491</v>
      </c>
      <c r="D24" s="25">
        <f t="shared" si="0"/>
        <v>18.59066170151819</v>
      </c>
      <c r="E24" s="69">
        <f t="shared" si="1"/>
        <v>0.67212392305488833</v>
      </c>
      <c r="F24" s="69">
        <f>E24*('S20-Rhode Table 3'!$F$12/'S19-Rhode Table 1 &amp; 2'!$F$39)</f>
        <v>0.77226846173355357</v>
      </c>
      <c r="G24" s="17">
        <f t="shared" si="2"/>
        <v>840.38133389929453</v>
      </c>
    </row>
    <row r="25" spans="1:7" ht="17.5" customHeight="1">
      <c r="A25" s="22">
        <v>1885</v>
      </c>
      <c r="B25" s="22">
        <v>668</v>
      </c>
      <c r="C25" s="22">
        <v>3884</v>
      </c>
      <c r="D25" s="25">
        <f t="shared" si="0"/>
        <v>17.198764160659113</v>
      </c>
      <c r="E25" s="69">
        <f t="shared" si="1"/>
        <v>0.62180147350075254</v>
      </c>
      <c r="F25" s="69">
        <f>E25*('S20-Rhode Table 3'!$F$12/'S19-Rhode Table 1 &amp; 2'!$F$39)</f>
        <v>0.71444811138625142</v>
      </c>
      <c r="G25" s="17">
        <f t="shared" si="2"/>
        <v>934.98742505438554</v>
      </c>
    </row>
    <row r="26" spans="1:7" ht="17.5" customHeight="1">
      <c r="A26" s="22">
        <v>1886</v>
      </c>
      <c r="B26" s="22">
        <v>732</v>
      </c>
      <c r="C26" s="22">
        <v>4347</v>
      </c>
      <c r="D26" s="25">
        <f t="shared" si="0"/>
        <v>16.839199447895101</v>
      </c>
      <c r="E26" s="69">
        <f t="shared" si="1"/>
        <v>0.6088018261931305</v>
      </c>
      <c r="F26" s="69">
        <f>E26*('S20-Rhode Table 3'!$F$12/'S19-Rhode Table 1 &amp; 2'!$F$39)</f>
        <v>0.69951155387806685</v>
      </c>
      <c r="G26" s="17">
        <f t="shared" si="2"/>
        <v>1046.4444739215792</v>
      </c>
    </row>
    <row r="27" spans="1:7" ht="17.5" customHeight="1">
      <c r="A27" s="22">
        <v>1887</v>
      </c>
      <c r="B27" s="22">
        <v>750</v>
      </c>
      <c r="C27" s="22">
        <v>4602</v>
      </c>
      <c r="D27" s="25">
        <f t="shared" si="0"/>
        <v>16.297262059973924</v>
      </c>
      <c r="E27" s="69">
        <f t="shared" si="1"/>
        <v>0.58920870524521107</v>
      </c>
      <c r="F27" s="69">
        <f>E27*('S20-Rhode Table 3'!$F$12/'S19-Rhode Table 1 &amp; 2'!$F$39)</f>
        <v>0.67699911404965507</v>
      </c>
      <c r="G27" s="17">
        <f t="shared" si="2"/>
        <v>1107.8301055870963</v>
      </c>
    </row>
    <row r="28" spans="1:7" ht="17.5" customHeight="1">
      <c r="A28" s="22">
        <v>1888</v>
      </c>
      <c r="B28" s="22">
        <v>752</v>
      </c>
      <c r="C28" s="22">
        <v>4604</v>
      </c>
      <c r="D28" s="25">
        <f t="shared" si="0"/>
        <v>16.333622936576887</v>
      </c>
      <c r="E28" s="69">
        <f t="shared" si="1"/>
        <v>0.59052329078393362</v>
      </c>
      <c r="F28" s="69">
        <f>E28*('S20-Rhode Table 3'!$F$12/'S19-Rhode Table 1 &amp; 2'!$F$39)</f>
        <v>0.6785095690669265</v>
      </c>
      <c r="G28" s="17">
        <f t="shared" si="2"/>
        <v>1108.311561521728</v>
      </c>
    </row>
    <row r="29" spans="1:7" ht="17.5" customHeight="1">
      <c r="A29" s="22">
        <v>1889</v>
      </c>
      <c r="B29" s="22">
        <v>770</v>
      </c>
      <c r="C29" s="22">
        <v>4542</v>
      </c>
      <c r="D29" s="25">
        <f t="shared" si="0"/>
        <v>16.952884191985909</v>
      </c>
      <c r="E29" s="69">
        <f t="shared" si="1"/>
        <v>0.61291196694102901</v>
      </c>
      <c r="F29" s="69">
        <f>E29*('S20-Rhode Table 3'!$F$12/'S19-Rhode Table 1 &amp; 2'!$F$39)</f>
        <v>0.70423409382049462</v>
      </c>
      <c r="G29" s="17">
        <f t="shared" si="2"/>
        <v>1093.386427548151</v>
      </c>
    </row>
    <row r="30" spans="1:7" ht="17.5" customHeight="1">
      <c r="A30" s="22">
        <v>1890</v>
      </c>
      <c r="B30" s="22">
        <v>829</v>
      </c>
      <c r="C30" s="22">
        <v>4713</v>
      </c>
      <c r="D30" s="25">
        <f t="shared" si="0"/>
        <v>17.58964566093783</v>
      </c>
      <c r="E30" s="69">
        <f t="shared" si="1"/>
        <v>0.63593334312621386</v>
      </c>
      <c r="F30" s="69">
        <f>E30*('S20-Rhode Table 3'!$F$12/'S19-Rhode Table 1 &amp; 2'!$F$39)</f>
        <v>0.73068558909344339</v>
      </c>
      <c r="G30" s="17">
        <f t="shared" si="2"/>
        <v>1134.5509099591447</v>
      </c>
    </row>
    <row r="31" spans="1:7" ht="17.5" customHeight="1">
      <c r="A31" s="22">
        <v>1891</v>
      </c>
      <c r="B31" s="22">
        <v>866</v>
      </c>
      <c r="C31" s="22">
        <v>4948</v>
      </c>
      <c r="D31" s="25">
        <f t="shared" si="0"/>
        <v>17.502021018593371</v>
      </c>
      <c r="E31" s="69">
        <f t="shared" si="1"/>
        <v>0.63276537528760646</v>
      </c>
      <c r="F31" s="69">
        <f>E31*('S20-Rhode Table 3'!$F$12/'S19-Rhode Table 1 &amp; 2'!$F$39)</f>
        <v>0.72704560312415523</v>
      </c>
      <c r="G31" s="17">
        <f t="shared" si="2"/>
        <v>1191.1219822783469</v>
      </c>
    </row>
    <row r="32" spans="1:7" ht="17.5" customHeight="1">
      <c r="A32" s="22">
        <v>1892</v>
      </c>
      <c r="B32" s="22">
        <v>905</v>
      </c>
      <c r="C32" s="22">
        <v>5371</v>
      </c>
      <c r="D32" s="25">
        <f t="shared" si="0"/>
        <v>16.849748650158258</v>
      </c>
      <c r="E32" s="69">
        <f t="shared" si="1"/>
        <v>0.60918322042879858</v>
      </c>
      <c r="F32" s="69">
        <f>E32*('S20-Rhode Table 3'!$F$12/'S19-Rhode Table 1 &amp; 2'!$F$39)</f>
        <v>0.69994977476202924</v>
      </c>
      <c r="G32" s="17">
        <f t="shared" si="2"/>
        <v>1292.9499124529102</v>
      </c>
    </row>
    <row r="33" spans="1:7" ht="17.5" customHeight="1">
      <c r="A33" s="22">
        <v>1893</v>
      </c>
      <c r="B33" s="22">
        <v>790</v>
      </c>
      <c r="C33" s="22">
        <v>4941</v>
      </c>
      <c r="D33" s="25">
        <f t="shared" si="0"/>
        <v>15.988666261890305</v>
      </c>
      <c r="E33" s="69">
        <f t="shared" si="1"/>
        <v>0.57805178023757253</v>
      </c>
      <c r="F33" s="69">
        <f>E33*('S20-Rhode Table 3'!$F$12/'S19-Rhode Table 1 &amp; 2'!$F$39)</f>
        <v>0.66417983918414492</v>
      </c>
      <c r="G33" s="17">
        <f t="shared" si="2"/>
        <v>1189.4368865071365</v>
      </c>
    </row>
    <row r="34" spans="1:7" ht="17.5" customHeight="1">
      <c r="A34" s="22">
        <v>1894</v>
      </c>
      <c r="B34" s="22">
        <v>678</v>
      </c>
      <c r="C34" s="22">
        <v>4381</v>
      </c>
      <c r="D34" s="25">
        <f t="shared" si="0"/>
        <v>15.475918740013695</v>
      </c>
      <c r="E34" s="69">
        <f t="shared" si="1"/>
        <v>0.55951398521587969</v>
      </c>
      <c r="F34" s="69">
        <f>E34*('S20-Rhode Table 3'!$F$12/'S19-Rhode Table 1 &amp; 2'!$F$39)</f>
        <v>0.64287996582111107</v>
      </c>
      <c r="G34" s="17">
        <f t="shared" si="2"/>
        <v>1054.6292248103148</v>
      </c>
    </row>
    <row r="35" spans="1:7" ht="17.5" customHeight="1">
      <c r="A35" s="22">
        <v>1895</v>
      </c>
      <c r="B35" s="22">
        <v>796</v>
      </c>
      <c r="C35" s="22">
        <v>5404</v>
      </c>
      <c r="D35" s="25">
        <f t="shared" si="0"/>
        <v>14.729829755736493</v>
      </c>
      <c r="E35" s="69">
        <f t="shared" si="1"/>
        <v>0.53253999886124237</v>
      </c>
      <c r="F35" s="69">
        <f>E35*('S20-Rhode Table 3'!$F$12/'S19-Rhode Table 1 &amp; 2'!$F$39)</f>
        <v>0.61188693278899187</v>
      </c>
      <c r="G35" s="17">
        <f t="shared" si="2"/>
        <v>1300.8939353743303</v>
      </c>
    </row>
    <row r="36" spans="1:7" ht="17.5" customHeight="1">
      <c r="A36" s="22">
        <v>1896</v>
      </c>
      <c r="B36" s="22">
        <v>762</v>
      </c>
      <c r="C36" s="22">
        <v>5452</v>
      </c>
      <c r="D36" s="25">
        <f t="shared" si="0"/>
        <v>13.976522377109319</v>
      </c>
      <c r="E36" s="69">
        <f t="shared" si="1"/>
        <v>0.50530503978779839</v>
      </c>
      <c r="F36" s="69">
        <f>E36*('S20-Rhode Table 3'!$F$12/'S19-Rhode Table 1 &amp; 2'!$F$39)</f>
        <v>0.58059404285073679</v>
      </c>
      <c r="G36" s="17">
        <f t="shared" si="2"/>
        <v>1312.4488778054865</v>
      </c>
    </row>
    <row r="37" spans="1:7" ht="17.5" customHeight="1">
      <c r="A37" s="22">
        <v>1897</v>
      </c>
      <c r="B37" s="22">
        <v>815</v>
      </c>
      <c r="C37" s="22">
        <v>5744</v>
      </c>
      <c r="D37" s="25">
        <f t="shared" si="0"/>
        <v>14.188718662952645</v>
      </c>
      <c r="E37" s="69">
        <f t="shared" si="1"/>
        <v>0.51297675166059564</v>
      </c>
      <c r="F37" s="69">
        <f>E37*('S20-Rhode Table 3'!$F$12/'S19-Rhode Table 1 &amp; 2'!$F$39)</f>
        <v>0.5894088178105984</v>
      </c>
      <c r="G37" s="17">
        <f t="shared" si="2"/>
        <v>1382.7414442616864</v>
      </c>
    </row>
    <row r="38" spans="1:7" ht="17.5" customHeight="1">
      <c r="A38" s="22">
        <v>1898</v>
      </c>
      <c r="B38" s="22">
        <v>848</v>
      </c>
      <c r="C38" s="22">
        <v>5560</v>
      </c>
      <c r="D38" s="25">
        <f t="shared" si="0"/>
        <v>15.251798561151078</v>
      </c>
      <c r="E38" s="69">
        <f t="shared" si="1"/>
        <v>0.55141117874930823</v>
      </c>
      <c r="F38" s="69">
        <f>E38*('S20-Rhode Table 3'!$F$12/'S19-Rhode Table 1 &amp; 2'!$F$39)</f>
        <v>0.63356986440823093</v>
      </c>
      <c r="G38" s="17">
        <f t="shared" si="2"/>
        <v>1338.4474982755878</v>
      </c>
    </row>
    <row r="39" spans="1:7" ht="17.5" customHeight="1">
      <c r="A39" s="22">
        <v>1899</v>
      </c>
      <c r="B39" s="22">
        <v>992</v>
      </c>
      <c r="C39" s="22">
        <v>6369</v>
      </c>
      <c r="D39" s="25">
        <f t="shared" si="0"/>
        <v>15.575443554718166</v>
      </c>
      <c r="E39" s="69">
        <f t="shared" si="1"/>
        <v>0.56311219005519519</v>
      </c>
      <c r="F39" s="69">
        <f>E39*('S20-Rhode Table 3'!$F$12/'S19-Rhode Table 1 &amp; 2'!$F$39)</f>
        <v>0.64701429287144197</v>
      </c>
      <c r="G39" s="17">
        <f t="shared" si="2"/>
        <v>1533.1964238340322</v>
      </c>
    </row>
    <row r="40" spans="1:7" ht="17.5" customHeight="1">
      <c r="A40" s="22">
        <v>1900</v>
      </c>
      <c r="B40" s="22">
        <v>1042</v>
      </c>
      <c r="C40" s="22">
        <v>6132</v>
      </c>
      <c r="D40" s="25">
        <f t="shared" si="0"/>
        <v>16.9928245270711</v>
      </c>
      <c r="E40" s="69">
        <f t="shared" si="1"/>
        <v>0.61435596367103207</v>
      </c>
      <c r="F40" s="69">
        <f>E40*('S20-Rhode Table 3'!$F$12/'S19-Rhode Table 1 &amp; 2'!$F$39)</f>
        <v>0.70589324192574165</v>
      </c>
      <c r="G40" s="17">
        <f t="shared" si="2"/>
        <v>1476.1438955801989</v>
      </c>
    </row>
    <row r="41" spans="1:7" ht="17.5" customHeight="1">
      <c r="A41" s="22">
        <v>1901</v>
      </c>
      <c r="B41" s="22">
        <v>1160</v>
      </c>
      <c r="C41" s="22">
        <v>6523</v>
      </c>
      <c r="D41" s="25">
        <f t="shared" ref="D41:D69" si="3">(B41/C41)*100</f>
        <v>17.783228575808678</v>
      </c>
      <c r="E41" s="69">
        <f t="shared" ref="E41:E69" si="4">D41/$D$9</f>
        <v>0.64293211004846762</v>
      </c>
      <c r="F41" s="69">
        <f>E41*('S20-Rhode Table 3'!$F$12/'S19-Rhode Table 1 &amp; 2'!$F$39)</f>
        <v>0.73872715223333951</v>
      </c>
      <c r="G41" s="17">
        <f t="shared" ref="G41:G69" si="5">B41/F41</f>
        <v>1570.268530800658</v>
      </c>
    </row>
    <row r="42" spans="1:7" ht="17.5" customHeight="1">
      <c r="A42" s="22">
        <v>1902</v>
      </c>
      <c r="B42" s="22">
        <v>1266</v>
      </c>
      <c r="C42" s="22">
        <v>6918</v>
      </c>
      <c r="D42" s="25">
        <f t="shared" si="3"/>
        <v>18.300086730268863</v>
      </c>
      <c r="E42" s="69">
        <f t="shared" si="4"/>
        <v>0.66161852024818191</v>
      </c>
      <c r="F42" s="69">
        <f>E42*('S20-Rhode Table 3'!$F$12/'S19-Rhode Table 1 &amp; 2'!$F$39)</f>
        <v>0.76019778401008864</v>
      </c>
      <c r="G42" s="17">
        <f t="shared" si="5"/>
        <v>1665.3560778903807</v>
      </c>
    </row>
    <row r="43" spans="1:7" ht="17.5" customHeight="1">
      <c r="A43" s="22">
        <v>1903</v>
      </c>
      <c r="B43" s="22">
        <v>1344</v>
      </c>
      <c r="C43" s="22">
        <v>7080</v>
      </c>
      <c r="D43" s="25">
        <f t="shared" si="3"/>
        <v>18.983050847457626</v>
      </c>
      <c r="E43" s="69">
        <f t="shared" si="4"/>
        <v>0.68631029986962189</v>
      </c>
      <c r="F43" s="69">
        <f>E43*('S20-Rhode Table 3'!$F$12/'S19-Rhode Table 1 &amp; 2'!$F$39)</f>
        <v>0.78856856804503828</v>
      </c>
      <c r="G43" s="17">
        <f t="shared" si="5"/>
        <v>1704.3540085955326</v>
      </c>
    </row>
    <row r="44" spans="1:7" ht="17.5" customHeight="1">
      <c r="A44" s="22">
        <v>1904</v>
      </c>
      <c r="B44" s="22">
        <v>1329</v>
      </c>
      <c r="C44" s="22">
        <v>6998</v>
      </c>
      <c r="D44" s="25">
        <f t="shared" si="3"/>
        <v>18.991140325807372</v>
      </c>
      <c r="E44" s="69">
        <f t="shared" si="4"/>
        <v>0.68660276562534339</v>
      </c>
      <c r="F44" s="69">
        <f>E44*('S20-Rhode Table 3'!$F$12/'S19-Rhode Table 1 &amp; 2'!$F$39)</f>
        <v>0.78890461036035153</v>
      </c>
      <c r="G44" s="17">
        <f t="shared" si="5"/>
        <v>1684.614315275641</v>
      </c>
    </row>
    <row r="45" spans="1:7" ht="17.5" customHeight="1">
      <c r="A45" s="22">
        <v>1905</v>
      </c>
      <c r="B45" s="22">
        <v>1535</v>
      </c>
      <c r="C45" s="22">
        <v>7953</v>
      </c>
      <c r="D45" s="25">
        <f t="shared" si="3"/>
        <v>19.300892744876148</v>
      </c>
      <c r="E45" s="69">
        <f t="shared" si="4"/>
        <v>0.69780150693013765</v>
      </c>
      <c r="F45" s="69">
        <f>E45*('S20-Rhode Table 3'!$F$12/'S19-Rhode Table 1 &amp; 2'!$F$39)</f>
        <v>0.80177193203147612</v>
      </c>
      <c r="G45" s="17">
        <f t="shared" si="5"/>
        <v>1914.5095240621852</v>
      </c>
    </row>
    <row r="46" spans="1:7" ht="17.5" customHeight="1">
      <c r="A46" s="22">
        <v>1906</v>
      </c>
      <c r="B46" s="22">
        <v>1792</v>
      </c>
      <c r="C46" s="22">
        <v>8853</v>
      </c>
      <c r="D46" s="25">
        <f t="shared" si="3"/>
        <v>20.241725968598214</v>
      </c>
      <c r="E46" s="69">
        <f t="shared" si="4"/>
        <v>0.73181624655701227</v>
      </c>
      <c r="F46" s="69">
        <f>E46*('S20-Rhode Table 3'!$F$12/'S19-Rhode Table 1 &amp; 2'!$F$39)</f>
        <v>0.84085477039931777</v>
      </c>
      <c r="G46" s="17">
        <f t="shared" si="5"/>
        <v>2131.1646946463634</v>
      </c>
    </row>
    <row r="47" spans="1:7" ht="17.5" customHeight="1">
      <c r="A47" s="22">
        <v>1907</v>
      </c>
      <c r="B47" s="22">
        <v>1851</v>
      </c>
      <c r="C47" s="22">
        <v>8287</v>
      </c>
      <c r="D47" s="25">
        <f t="shared" si="3"/>
        <v>22.336189212018827</v>
      </c>
      <c r="E47" s="69">
        <f t="shared" si="4"/>
        <v>0.80753914843452679</v>
      </c>
      <c r="F47" s="69">
        <f>E47*('S20-Rhode Table 3'!$F$12/'S19-Rhode Table 1 &amp; 2'!$F$39)</f>
        <v>0.92786016768551638</v>
      </c>
      <c r="G47" s="17">
        <f t="shared" si="5"/>
        <v>1994.9126651456465</v>
      </c>
    </row>
    <row r="48" spans="1:7" ht="17.5" customHeight="1">
      <c r="A48" s="22">
        <v>1908</v>
      </c>
      <c r="B48" s="22">
        <v>1515</v>
      </c>
      <c r="C48" s="22">
        <v>7028</v>
      </c>
      <c r="D48" s="25">
        <f t="shared" si="3"/>
        <v>21.556630620375643</v>
      </c>
      <c r="E48" s="69">
        <f t="shared" si="4"/>
        <v>0.77935510704435007</v>
      </c>
      <c r="F48" s="69">
        <f>E48*('S20-Rhode Table 3'!$F$12/'S19-Rhode Table 1 &amp; 2'!$F$39)</f>
        <v>0.89547678488476889</v>
      </c>
      <c r="G48" s="17">
        <f t="shared" si="5"/>
        <v>1691.8361542951134</v>
      </c>
    </row>
    <row r="49" spans="1:7" ht="17.5" customHeight="1">
      <c r="A49" s="22">
        <v>1909</v>
      </c>
      <c r="B49" s="22">
        <v>1839</v>
      </c>
      <c r="C49" s="22">
        <v>8757</v>
      </c>
      <c r="D49" s="25">
        <f t="shared" si="3"/>
        <v>21.000342583076396</v>
      </c>
      <c r="E49" s="69">
        <f t="shared" si="4"/>
        <v>0.7592431549266081</v>
      </c>
      <c r="F49" s="69">
        <f>E49*('S20-Rhode Table 3'!$F$12/'S19-Rhode Table 1 &amp; 2'!$F$39)</f>
        <v>0.87236820952885341</v>
      </c>
      <c r="G49" s="17">
        <f t="shared" si="5"/>
        <v>2108.0548097840506</v>
      </c>
    </row>
    <row r="50" spans="1:7" ht="17.5" customHeight="1">
      <c r="A50" s="22">
        <v>1910</v>
      </c>
      <c r="B50" s="22">
        <v>1989</v>
      </c>
      <c r="C50" s="22">
        <v>9076</v>
      </c>
      <c r="D50" s="25">
        <f t="shared" si="3"/>
        <v>21.914940502423974</v>
      </c>
      <c r="E50" s="69">
        <f t="shared" si="4"/>
        <v>0.7923093873953283</v>
      </c>
      <c r="F50" s="69">
        <f>E50*('S20-Rhode Table 3'!$F$12/'S19-Rhode Table 1 &amp; 2'!$F$39)</f>
        <v>0.91036121588976116</v>
      </c>
      <c r="G50" s="17">
        <f t="shared" si="5"/>
        <v>2184.8470313577759</v>
      </c>
    </row>
    <row r="51" spans="1:7" ht="17.5" customHeight="1">
      <c r="A51" s="22">
        <v>1911</v>
      </c>
      <c r="B51" s="22">
        <v>2072</v>
      </c>
      <c r="C51" s="22">
        <v>8786</v>
      </c>
      <c r="D51" s="25">
        <f t="shared" si="3"/>
        <v>23.582972911450035</v>
      </c>
      <c r="E51" s="69">
        <f t="shared" si="4"/>
        <v>0.85261517449088586</v>
      </c>
      <c r="F51" s="69">
        <f>E51*('S20-Rhode Table 3'!$F$12/'S19-Rhode Table 1 &amp; 2'!$F$39)</f>
        <v>0.97965239246660518</v>
      </c>
      <c r="G51" s="17">
        <f t="shared" si="5"/>
        <v>2115.0359208362074</v>
      </c>
    </row>
    <row r="52" spans="1:7" ht="17.5" customHeight="1">
      <c r="A52" s="22">
        <v>1912</v>
      </c>
      <c r="B52" s="22">
        <v>2324</v>
      </c>
      <c r="C52" s="22">
        <v>9230</v>
      </c>
      <c r="D52" s="25">
        <f t="shared" si="3"/>
        <v>25.178764897074757</v>
      </c>
      <c r="E52" s="69">
        <f t="shared" si="4"/>
        <v>0.9103091924327027</v>
      </c>
      <c r="F52" s="69">
        <f>E52*('S20-Rhode Table 3'!$F$12/'S19-Rhode Table 1 &amp; 2'!$F$39)</f>
        <v>1.0459426537693803</v>
      </c>
      <c r="G52" s="17">
        <f t="shared" si="5"/>
        <v>2221.919138324402</v>
      </c>
    </row>
    <row r="53" spans="1:7" ht="17.5" customHeight="1">
      <c r="A53" s="22">
        <v>1913</v>
      </c>
      <c r="B53" s="22">
        <v>2538</v>
      </c>
      <c r="C53" s="22">
        <v>9387</v>
      </c>
      <c r="D53" s="25">
        <f t="shared" si="3"/>
        <v>27.037392138063275</v>
      </c>
      <c r="E53" s="69">
        <f t="shared" si="4"/>
        <v>0.97750571576074918</v>
      </c>
      <c r="F53" s="69">
        <f>E53*('S20-Rhode Table 3'!$F$12/'S19-Rhode Table 1 &amp; 2'!$F$39)</f>
        <v>1.1231512665331242</v>
      </c>
      <c r="G53" s="17">
        <f t="shared" si="5"/>
        <v>2259.7134291929756</v>
      </c>
    </row>
    <row r="54" spans="1:7" ht="17.5" customHeight="1">
      <c r="A54" s="22">
        <v>1914</v>
      </c>
      <c r="B54" s="22">
        <v>2371</v>
      </c>
      <c r="C54" s="22">
        <v>8846</v>
      </c>
      <c r="D54" s="25">
        <f t="shared" si="3"/>
        <v>26.803074836084107</v>
      </c>
      <c r="E54" s="69">
        <f t="shared" si="4"/>
        <v>0.96903424407381</v>
      </c>
      <c r="F54" s="69">
        <f>E54*('S20-Rhode Table 3'!$F$12/'S19-Rhode Table 1 &amp; 2'!$F$39)</f>
        <v>1.113417569838389</v>
      </c>
      <c r="G54" s="17">
        <f t="shared" si="5"/>
        <v>2129.4795988751525</v>
      </c>
    </row>
    <row r="55" spans="1:7" ht="17.5" customHeight="1">
      <c r="A55" s="22">
        <v>1915</v>
      </c>
      <c r="B55" s="22">
        <v>2488</v>
      </c>
      <c r="C55" s="22">
        <v>9135</v>
      </c>
      <c r="D55" s="25">
        <f t="shared" si="3"/>
        <v>27.235905856595512</v>
      </c>
      <c r="E55" s="69">
        <f t="shared" si="4"/>
        <v>0.98468275019999152</v>
      </c>
      <c r="F55" s="69">
        <f>E55*('S20-Rhode Table 3'!$F$12/'S19-Rhode Table 1 &amp; 2'!$F$39)</f>
        <v>1.1313976585392451</v>
      </c>
      <c r="G55" s="17">
        <f t="shared" si="5"/>
        <v>2199.0499814294058</v>
      </c>
    </row>
    <row r="56" spans="1:7" ht="17.5" customHeight="1">
      <c r="A56" s="22">
        <v>1916</v>
      </c>
      <c r="B56" s="22">
        <v>3409</v>
      </c>
      <c r="C56" s="22">
        <v>11228</v>
      </c>
      <c r="D56" s="25">
        <f t="shared" si="3"/>
        <v>30.361596009975063</v>
      </c>
      <c r="E56" s="69">
        <f t="shared" si="4"/>
        <v>1.0976884711298676</v>
      </c>
      <c r="F56" s="69">
        <f>E56*('S20-Rhode Table 3'!$F$12/'S19-Rhode Table 1 &amp; 2'!$F$39)</f>
        <v>1.2612409080890454</v>
      </c>
      <c r="G56" s="17">
        <f t="shared" si="5"/>
        <v>2702.8936170212769</v>
      </c>
    </row>
    <row r="57" spans="1:7" ht="17.5" customHeight="1">
      <c r="A57" s="22">
        <v>1917</v>
      </c>
      <c r="B57" s="22">
        <v>4216</v>
      </c>
      <c r="C57" s="22">
        <v>11520</v>
      </c>
      <c r="D57" s="25">
        <f t="shared" si="3"/>
        <v>36.597222222222221</v>
      </c>
      <c r="E57" s="69">
        <f t="shared" si="4"/>
        <v>1.3231303418803417</v>
      </c>
      <c r="F57" s="69">
        <f>E57*('S20-Rhode Table 3'!$F$12/'S19-Rhode Table 1 &amp; 2'!$F$39)</f>
        <v>1.5202729716160945</v>
      </c>
      <c r="G57" s="17">
        <f t="shared" si="5"/>
        <v>2773.1861834774772</v>
      </c>
    </row>
    <row r="58" spans="1:7" ht="17.5" customHeight="1">
      <c r="A58" s="22">
        <v>1918</v>
      </c>
      <c r="B58" s="22">
        <v>3928</v>
      </c>
      <c r="C58" s="22">
        <v>9322</v>
      </c>
      <c r="D58" s="25">
        <f t="shared" si="3"/>
        <v>42.136880497747264</v>
      </c>
      <c r="E58" s="69">
        <f t="shared" si="4"/>
        <v>1.5234102949185548</v>
      </c>
      <c r="F58" s="69">
        <f>E58*('S20-Rhode Table 3'!$F$12/'S19-Rhode Table 1 &amp; 2'!$F$39)</f>
        <v>1.750394063788941</v>
      </c>
      <c r="G58" s="17">
        <f t="shared" si="5"/>
        <v>2244.0661113174515</v>
      </c>
    </row>
    <row r="59" spans="1:7" ht="17.5" customHeight="1">
      <c r="A59" s="22">
        <v>1919</v>
      </c>
      <c r="B59" s="22">
        <v>5548</v>
      </c>
      <c r="C59" s="22">
        <v>11404</v>
      </c>
      <c r="D59" s="25">
        <f t="shared" si="3"/>
        <v>48.649596632760435</v>
      </c>
      <c r="E59" s="69">
        <f t="shared" si="4"/>
        <v>1.7588700321074926</v>
      </c>
      <c r="F59" s="69">
        <f>E59*('S20-Rhode Table 3'!$F$12/'S19-Rhode Table 1 &amp; 2'!$F$39)</f>
        <v>2.0209366271492963</v>
      </c>
      <c r="G59" s="17">
        <f t="shared" si="5"/>
        <v>2745.2617392688499</v>
      </c>
    </row>
    <row r="60" spans="1:7" ht="17.5" customHeight="1">
      <c r="A60" s="22">
        <v>1920</v>
      </c>
      <c r="B60" s="22">
        <v>6645</v>
      </c>
      <c r="C60" s="22">
        <v>13091</v>
      </c>
      <c r="D60" s="25">
        <f t="shared" si="3"/>
        <v>50.760064166221063</v>
      </c>
      <c r="E60" s="69">
        <f t="shared" si="4"/>
        <v>1.8351715506249153</v>
      </c>
      <c r="F60" s="69">
        <f>E60*('S20-Rhode Table 3'!$F$12/'S19-Rhode Table 1 &amp; 2'!$F$39)</f>
        <v>2.1086068532968225</v>
      </c>
      <c r="G60" s="17">
        <f t="shared" si="5"/>
        <v>3151.3698201305251</v>
      </c>
    </row>
    <row r="61" spans="1:7" ht="17.5" customHeight="1">
      <c r="A61" s="22">
        <v>1921</v>
      </c>
      <c r="B61" s="22">
        <v>6049</v>
      </c>
      <c r="C61" s="22">
        <v>12175</v>
      </c>
      <c r="D61" s="25">
        <f t="shared" si="3"/>
        <v>49.68377823408624</v>
      </c>
      <c r="E61" s="69">
        <f t="shared" si="4"/>
        <v>1.7962596746169639</v>
      </c>
      <c r="F61" s="69">
        <f>E61*('S20-Rhode Table 3'!$F$12/'S19-Rhode Table 1 &amp; 2'!$F$39)</f>
        <v>2.063897219259033</v>
      </c>
      <c r="G61" s="17">
        <f t="shared" si="5"/>
        <v>2930.8630020692954</v>
      </c>
    </row>
    <row r="62" spans="1:7" ht="17.5" customHeight="1">
      <c r="A62" s="22">
        <v>1922</v>
      </c>
      <c r="B62" s="22">
        <v>5590</v>
      </c>
      <c r="C62" s="22">
        <v>11577</v>
      </c>
      <c r="D62" s="25">
        <f t="shared" si="3"/>
        <v>48.285393452535196</v>
      </c>
      <c r="E62" s="69">
        <f t="shared" si="4"/>
        <v>1.7457026863608878</v>
      </c>
      <c r="F62" s="69">
        <f>E62*('S20-Rhode Table 3'!$F$12/'S19-Rhode Table 1 &amp; 2'!$F$39)</f>
        <v>2.005807384615232</v>
      </c>
      <c r="G62" s="17">
        <f t="shared" si="5"/>
        <v>2786.9076776144748</v>
      </c>
    </row>
    <row r="63" spans="1:7" ht="17.5" customHeight="1">
      <c r="A63" s="22">
        <v>1923</v>
      </c>
      <c r="B63" s="22">
        <v>7152</v>
      </c>
      <c r="C63" s="22">
        <v>14998</v>
      </c>
      <c r="D63" s="25">
        <f t="shared" si="3"/>
        <v>47.68635818109081</v>
      </c>
      <c r="E63" s="69">
        <f t="shared" si="4"/>
        <v>1.72404525731636</v>
      </c>
      <c r="F63" s="69">
        <f>E63*('S20-Rhode Table 3'!$F$12/'S19-Rhode Table 1 &amp; 2'!$F$39)</f>
        <v>1.9809230606987402</v>
      </c>
      <c r="G63" s="17">
        <f t="shared" si="5"/>
        <v>3610.4380538016662</v>
      </c>
    </row>
    <row r="64" spans="1:7" ht="17.5" customHeight="1">
      <c r="A64" s="22">
        <v>1924</v>
      </c>
      <c r="B64" s="22">
        <v>7295</v>
      </c>
      <c r="C64" s="22">
        <v>15624</v>
      </c>
      <c r="D64" s="25">
        <f t="shared" si="3"/>
        <v>46.690988223246286</v>
      </c>
      <c r="E64" s="69">
        <f t="shared" si="4"/>
        <v>1.6880588049942888</v>
      </c>
      <c r="F64" s="69">
        <f>E64*('S20-Rhode Table 3'!$F$12/'S19-Rhode Table 1 &amp; 2'!$F$39)</f>
        <v>1.9395747300937243</v>
      </c>
      <c r="G64" s="17">
        <f t="shared" si="5"/>
        <v>3761.133761341328</v>
      </c>
    </row>
    <row r="65" spans="1:7" ht="17.5" customHeight="1">
      <c r="A65" s="22">
        <v>1925</v>
      </c>
      <c r="B65" s="22">
        <v>7938</v>
      </c>
      <c r="C65" s="22">
        <v>16830</v>
      </c>
      <c r="D65" s="25">
        <f t="shared" si="3"/>
        <v>47.165775401069524</v>
      </c>
      <c r="E65" s="69">
        <f t="shared" si="4"/>
        <v>1.7052241875771288</v>
      </c>
      <c r="F65" s="69">
        <f>E65*('S20-Rhode Table 3'!$F$12/'S19-Rhode Table 1 &amp; 2'!$F$39)</f>
        <v>1.9592977054969301</v>
      </c>
      <c r="G65" s="17">
        <f t="shared" si="5"/>
        <v>4051.4516899241262</v>
      </c>
    </row>
    <row r="66" spans="1:7" ht="17.5" customHeight="1">
      <c r="A66" s="22">
        <v>1926</v>
      </c>
      <c r="B66" s="22">
        <v>8459</v>
      </c>
      <c r="C66" s="22">
        <v>18607</v>
      </c>
      <c r="D66" s="25">
        <f t="shared" si="3"/>
        <v>45.461385500080617</v>
      </c>
      <c r="E66" s="69">
        <f t="shared" si="4"/>
        <v>1.6436039373106068</v>
      </c>
      <c r="F66" s="69">
        <f>E66*('S20-Rhode Table 3'!$F$12/'S19-Rhode Table 1 &amp; 2'!$F$39)</f>
        <v>1.888496214503018</v>
      </c>
      <c r="G66" s="17">
        <f t="shared" si="5"/>
        <v>4479.2252878442196</v>
      </c>
    </row>
    <row r="67" spans="1:7" ht="17.5" customHeight="1">
      <c r="A67" s="22">
        <v>1927</v>
      </c>
      <c r="B67" s="22">
        <v>8222</v>
      </c>
      <c r="C67" s="22">
        <v>18113</v>
      </c>
      <c r="D67" s="25">
        <f t="shared" si="3"/>
        <v>45.392811792635122</v>
      </c>
      <c r="E67" s="69">
        <f t="shared" si="4"/>
        <v>1.6411247340414237</v>
      </c>
      <c r="F67" s="69">
        <f>E67*('S20-Rhode Table 3'!$F$12/'S19-Rhode Table 1 &amp; 2'!$F$39)</f>
        <v>1.8856476170504608</v>
      </c>
      <c r="G67" s="17">
        <f t="shared" si="5"/>
        <v>4360.3056719902379</v>
      </c>
    </row>
    <row r="68" spans="1:7" ht="17.5" customHeight="1">
      <c r="A68" s="22">
        <v>1928</v>
      </c>
      <c r="B68" s="22">
        <v>8533</v>
      </c>
      <c r="C68" s="22">
        <v>18694</v>
      </c>
      <c r="D68" s="25">
        <f t="shared" si="3"/>
        <v>45.645661709639455</v>
      </c>
      <c r="E68" s="69">
        <f t="shared" si="4"/>
        <v>1.6502662310408109</v>
      </c>
      <c r="F68" s="69">
        <f>E68*('S20-Rhode Table 3'!$F$12/'S19-Rhode Table 1 &amp; 2'!$F$39)</f>
        <v>1.8961511709093557</v>
      </c>
      <c r="G68" s="17">
        <f t="shared" si="5"/>
        <v>4500.168621000691</v>
      </c>
    </row>
    <row r="69" spans="1:7" ht="17.5" customHeight="1">
      <c r="A69" s="22">
        <v>1929</v>
      </c>
      <c r="B69" s="22">
        <v>9299</v>
      </c>
      <c r="C69" s="22">
        <v>20271</v>
      </c>
      <c r="D69" s="25">
        <f t="shared" si="3"/>
        <v>45.873415223718609</v>
      </c>
      <c r="E69" s="69">
        <f t="shared" si="4"/>
        <v>1.6585003965498266</v>
      </c>
      <c r="F69" s="69">
        <f>E69*('S20-Rhode Table 3'!$F$12/'S19-Rhode Table 1 &amp; 2'!$F$39)</f>
        <v>1.9056122034856173</v>
      </c>
      <c r="G69" s="17">
        <f t="shared" si="5"/>
        <v>4879.7966254576331</v>
      </c>
    </row>
  </sheetData>
  <pageMargins left="0.75" right="0.75" top="1" bottom="1" header="0.5" footer="0.5"/>
  <pageSetup orientation="portrait"/>
  <headerFooter>
    <oddFooter>&amp;C&amp;"Helvetica Neue,Regular"&amp;12&amp;K000000&amp;P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
  <sheetViews>
    <sheetView showGridLines="0" workbookViewId="0"/>
  </sheetViews>
  <sheetFormatPr baseColWidth="10" defaultColWidth="8.83203125" defaultRowHeight="16" customHeight="1"/>
  <cols>
    <col min="1" max="1" width="21.5" style="4" customWidth="1"/>
    <col min="2" max="2" width="10.6640625" style="4" customWidth="1"/>
    <col min="3" max="3" width="15.5" style="4" customWidth="1"/>
    <col min="4" max="4" width="14" style="4" customWidth="1"/>
    <col min="5" max="5" width="20.6640625" style="4" customWidth="1"/>
    <col min="6" max="6" width="8.83203125" style="4" customWidth="1"/>
    <col min="7" max="16384" width="8.83203125" style="4"/>
  </cols>
  <sheetData>
    <row r="1" spans="1:5" ht="17.5" customHeight="1">
      <c r="A1" s="74" t="s">
        <v>377</v>
      </c>
      <c r="B1" s="6"/>
      <c r="C1" s="6"/>
      <c r="D1" s="6"/>
      <c r="E1" s="6"/>
    </row>
    <row r="2" spans="1:5" ht="17.5" customHeight="1">
      <c r="A2" s="74" t="s">
        <v>378</v>
      </c>
      <c r="B2" s="6"/>
      <c r="C2" s="6"/>
      <c r="D2" s="6"/>
      <c r="E2" s="6"/>
    </row>
    <row r="3" spans="1:5" ht="17.5" customHeight="1">
      <c r="A3" s="74" t="s">
        <v>379</v>
      </c>
      <c r="B3" s="6"/>
      <c r="C3" s="6"/>
      <c r="D3" s="6"/>
      <c r="E3" s="6"/>
    </row>
    <row r="4" spans="1:5" ht="17.5" customHeight="1">
      <c r="A4" s="8" t="s">
        <v>380</v>
      </c>
      <c r="B4" s="6"/>
      <c r="C4" s="6"/>
      <c r="D4" s="6"/>
      <c r="E4" s="6"/>
    </row>
    <row r="5" spans="1:5" ht="68" customHeight="1">
      <c r="A5" s="6"/>
      <c r="B5" s="12" t="s">
        <v>381</v>
      </c>
      <c r="C5" s="12" t="s">
        <v>382</v>
      </c>
      <c r="D5" s="12" t="s">
        <v>383</v>
      </c>
      <c r="E5" s="12" t="s">
        <v>384</v>
      </c>
    </row>
    <row r="6" spans="1:5" ht="17.5" customHeight="1">
      <c r="A6" s="22">
        <v>1859</v>
      </c>
      <c r="B6" s="81">
        <v>1495</v>
      </c>
      <c r="C6" s="82">
        <v>43.3</v>
      </c>
      <c r="D6" s="82">
        <v>24.5</v>
      </c>
      <c r="E6" s="25">
        <f>B6-C6-D6</f>
        <v>1427.2</v>
      </c>
    </row>
    <row r="7" spans="1:5" ht="17.5" customHeight="1">
      <c r="A7" s="81">
        <v>1869</v>
      </c>
      <c r="B7" s="22">
        <v>2535</v>
      </c>
      <c r="C7" s="22">
        <v>141</v>
      </c>
      <c r="D7" s="22">
        <v>23</v>
      </c>
      <c r="E7" s="22">
        <f>B7-C7-D7</f>
        <v>2371</v>
      </c>
    </row>
    <row r="8" spans="1:5" ht="17.5" customHeight="1">
      <c r="A8" s="81">
        <v>1879</v>
      </c>
      <c r="B8" s="22">
        <v>2599</v>
      </c>
      <c r="C8" s="22">
        <v>139</v>
      </c>
      <c r="D8" s="22">
        <v>14</v>
      </c>
      <c r="E8" s="22">
        <f>B8-C8-D8</f>
        <v>2446</v>
      </c>
    </row>
    <row r="9" spans="1:5" ht="17.5" customHeight="1">
      <c r="A9" s="81">
        <v>1889</v>
      </c>
      <c r="B9" s="22">
        <v>2765</v>
      </c>
      <c r="C9" s="22">
        <v>65</v>
      </c>
      <c r="D9" s="22">
        <v>0</v>
      </c>
      <c r="E9" s="22">
        <f>B9-C9-D9</f>
        <v>2700</v>
      </c>
    </row>
    <row r="10" spans="1:5" ht="17.5" customHeight="1">
      <c r="A10" s="81">
        <v>1899</v>
      </c>
      <c r="B10" s="22">
        <v>3397</v>
      </c>
      <c r="C10" s="22">
        <v>67</v>
      </c>
      <c r="D10" s="22">
        <v>0</v>
      </c>
      <c r="E10" s="22">
        <f>B10-C10-D10</f>
        <v>3330</v>
      </c>
    </row>
    <row r="11" spans="1:5" ht="17.5" customHeight="1">
      <c r="A11" s="8" t="s">
        <v>385</v>
      </c>
      <c r="B11" s="6"/>
      <c r="C11" s="6"/>
      <c r="D11" s="6"/>
      <c r="E11" s="6"/>
    </row>
    <row r="12" spans="1:5" ht="68" customHeight="1">
      <c r="A12" s="6"/>
      <c r="B12" s="12" t="s">
        <v>381</v>
      </c>
      <c r="C12" s="12" t="s">
        <v>382</v>
      </c>
      <c r="D12" s="12" t="s">
        <v>383</v>
      </c>
      <c r="E12" s="12" t="s">
        <v>384</v>
      </c>
    </row>
    <row r="13" spans="1:5" ht="17.5" customHeight="1">
      <c r="A13" s="22">
        <v>1859</v>
      </c>
      <c r="B13" s="81">
        <v>1492</v>
      </c>
      <c r="C13" s="82">
        <v>42.6</v>
      </c>
      <c r="D13" s="82">
        <v>26.3</v>
      </c>
      <c r="E13" s="25">
        <f>B13-C13-D13</f>
        <v>1423.1000000000001</v>
      </c>
    </row>
    <row r="14" spans="1:5" ht="17.5" customHeight="1">
      <c r="A14" s="81">
        <v>1869</v>
      </c>
      <c r="B14" s="22">
        <v>1720</v>
      </c>
      <c r="C14" s="22">
        <v>90</v>
      </c>
      <c r="D14" s="22">
        <v>19</v>
      </c>
      <c r="E14" s="22">
        <f>B14-C14-D14</f>
        <v>1611</v>
      </c>
    </row>
    <row r="15" spans="1:5" ht="17.5" customHeight="1">
      <c r="A15" s="81">
        <v>1879</v>
      </c>
      <c r="B15" s="22">
        <v>2599</v>
      </c>
      <c r="C15" s="22">
        <v>139</v>
      </c>
      <c r="D15" s="22">
        <v>14</v>
      </c>
      <c r="E15" s="22">
        <f>B15-C15-D15</f>
        <v>2446</v>
      </c>
    </row>
    <row r="16" spans="1:5" ht="17.5" customHeight="1">
      <c r="A16" s="81">
        <v>1889</v>
      </c>
      <c r="B16" s="22">
        <v>3238</v>
      </c>
      <c r="C16" s="22">
        <v>72</v>
      </c>
      <c r="D16" s="22">
        <v>0</v>
      </c>
      <c r="E16" s="22">
        <f>B16-C16-D16</f>
        <v>3166</v>
      </c>
    </row>
    <row r="17" spans="1:5" ht="17.5" customHeight="1">
      <c r="A17" s="81">
        <v>1899</v>
      </c>
      <c r="B17" s="22">
        <v>3918</v>
      </c>
      <c r="C17" s="22">
        <v>75</v>
      </c>
      <c r="D17" s="22">
        <v>0</v>
      </c>
      <c r="E17" s="22">
        <f>B17-C17-D17</f>
        <v>3843</v>
      </c>
    </row>
    <row r="18" spans="1:5" ht="13.75" customHeight="1">
      <c r="A18" s="6"/>
      <c r="B18" s="6"/>
      <c r="C18" s="6"/>
      <c r="D18" s="6"/>
      <c r="E18" s="6"/>
    </row>
    <row r="19" spans="1:5" ht="17.5" customHeight="1">
      <c r="A19" s="8" t="s">
        <v>386</v>
      </c>
      <c r="B19" s="6"/>
      <c r="C19" s="6"/>
      <c r="D19" s="6"/>
      <c r="E19" s="6"/>
    </row>
    <row r="20" spans="1:5" ht="51" customHeight="1">
      <c r="A20" s="6"/>
      <c r="B20" s="12" t="s">
        <v>381</v>
      </c>
      <c r="C20" s="12" t="s">
        <v>387</v>
      </c>
      <c r="D20" s="12" t="s">
        <v>388</v>
      </c>
      <c r="E20" s="12" t="s">
        <v>384</v>
      </c>
    </row>
    <row r="21" spans="1:5" ht="17.5" customHeight="1">
      <c r="A21" s="22">
        <v>1859</v>
      </c>
      <c r="B21" s="69">
        <f t="shared" ref="B21:E23" si="0">B6/B13</f>
        <v>1.0020107238605898</v>
      </c>
      <c r="C21" s="69">
        <f t="shared" si="0"/>
        <v>1.016431924882629</v>
      </c>
      <c r="D21" s="69">
        <f t="shared" si="0"/>
        <v>0.9315589353612167</v>
      </c>
      <c r="E21" s="69">
        <f t="shared" si="0"/>
        <v>1.0028810343616048</v>
      </c>
    </row>
    <row r="22" spans="1:5" ht="17.5" customHeight="1">
      <c r="A22" s="81">
        <v>1869</v>
      </c>
      <c r="B22" s="69">
        <f t="shared" si="0"/>
        <v>1.4738372093023255</v>
      </c>
      <c r="C22" s="69">
        <f t="shared" si="0"/>
        <v>1.5666666666666667</v>
      </c>
      <c r="D22" s="69">
        <f t="shared" si="0"/>
        <v>1.2105263157894737</v>
      </c>
      <c r="E22" s="69">
        <f t="shared" si="0"/>
        <v>1.4717566728739913</v>
      </c>
    </row>
    <row r="23" spans="1:5" ht="17.5" customHeight="1">
      <c r="A23" s="81">
        <v>1879</v>
      </c>
      <c r="B23" s="69">
        <f t="shared" si="0"/>
        <v>1</v>
      </c>
      <c r="C23" s="69">
        <f t="shared" si="0"/>
        <v>1</v>
      </c>
      <c r="D23" s="69">
        <f t="shared" si="0"/>
        <v>1</v>
      </c>
      <c r="E23" s="69">
        <f t="shared" si="0"/>
        <v>1</v>
      </c>
    </row>
    <row r="24" spans="1:5" ht="17.5" customHeight="1">
      <c r="A24" s="81">
        <v>1889</v>
      </c>
      <c r="B24" s="69">
        <f>B9/B16</f>
        <v>0.85392217418159355</v>
      </c>
      <c r="C24" s="69">
        <f>C9/C16</f>
        <v>0.90277777777777779</v>
      </c>
      <c r="D24" s="83" t="s">
        <v>389</v>
      </c>
      <c r="E24" s="69">
        <f>E9/E16</f>
        <v>0.85281111813013266</v>
      </c>
    </row>
    <row r="25" spans="1:5" ht="17.5" customHeight="1">
      <c r="A25" s="81">
        <v>1899</v>
      </c>
      <c r="B25" s="69">
        <f>B10/B17</f>
        <v>0.86702399183256762</v>
      </c>
      <c r="C25" s="69">
        <f>C10/C17</f>
        <v>0.89333333333333331</v>
      </c>
      <c r="D25" s="83" t="s">
        <v>389</v>
      </c>
      <c r="E25" s="69">
        <f>E10/E17</f>
        <v>0.86651053864168615</v>
      </c>
    </row>
  </sheetData>
  <pageMargins left="0.75" right="0.75" top="1" bottom="1" header="0.5" footer="0.5"/>
  <pageSetup orientation="portrait"/>
  <headerFooter>
    <oddFooter>&amp;C&amp;"Helvetica Neue,Regular"&amp;12&amp;K000000&amp;P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9"/>
  <sheetViews>
    <sheetView showGridLines="0" topLeftCell="B6" workbookViewId="0">
      <selection activeCell="I14" sqref="I14"/>
    </sheetView>
  </sheetViews>
  <sheetFormatPr baseColWidth="10" defaultColWidth="10.6640625" defaultRowHeight="13" customHeight="1"/>
  <cols>
    <col min="1" max="1" width="10.6640625" style="4" customWidth="1"/>
    <col min="2" max="3" width="11.5" style="4" customWidth="1"/>
    <col min="4" max="4" width="11" style="4" customWidth="1"/>
    <col min="5" max="6" width="11.5" style="4" customWidth="1"/>
    <col min="7" max="7" width="12.5" style="4" customWidth="1"/>
    <col min="8" max="8" width="13" style="4" customWidth="1"/>
    <col min="9" max="9" width="15.1640625" style="4" customWidth="1"/>
    <col min="10" max="11" width="10.6640625" style="4" customWidth="1"/>
    <col min="12" max="16384" width="10.6640625" style="4"/>
  </cols>
  <sheetData>
    <row r="1" spans="1:10" ht="16" customHeight="1">
      <c r="A1" s="57" t="s">
        <v>391</v>
      </c>
      <c r="B1" s="58"/>
      <c r="C1" s="58"/>
      <c r="D1" s="58"/>
      <c r="E1" s="58"/>
      <c r="F1" s="58"/>
      <c r="G1" s="58"/>
      <c r="H1" s="58"/>
      <c r="I1" s="58"/>
      <c r="J1" s="58"/>
    </row>
    <row r="2" spans="1:10" ht="16" customHeight="1">
      <c r="A2" s="57" t="s">
        <v>392</v>
      </c>
      <c r="B2" s="58"/>
      <c r="C2" s="58"/>
      <c r="D2" s="58"/>
      <c r="E2" s="58"/>
      <c r="F2" s="58"/>
      <c r="G2" s="58"/>
      <c r="H2" s="58"/>
      <c r="I2" s="58"/>
      <c r="J2" s="58"/>
    </row>
    <row r="3" spans="1:10" ht="16" customHeight="1">
      <c r="A3" s="57" t="s">
        <v>150</v>
      </c>
      <c r="B3" s="58"/>
      <c r="C3" s="58"/>
      <c r="D3" s="58"/>
      <c r="E3" s="58"/>
      <c r="F3" s="58"/>
      <c r="G3" s="58"/>
      <c r="H3" s="58"/>
      <c r="I3" s="58"/>
      <c r="J3" s="58"/>
    </row>
    <row r="4" spans="1:10" ht="16" customHeight="1">
      <c r="A4" s="57" t="s">
        <v>393</v>
      </c>
      <c r="B4" s="58"/>
      <c r="C4" s="58"/>
      <c r="D4" s="58"/>
      <c r="E4" s="49"/>
      <c r="F4" s="58"/>
      <c r="G4" s="58"/>
      <c r="H4" s="58"/>
      <c r="I4" s="58"/>
      <c r="J4" s="58"/>
    </row>
    <row r="5" spans="1:10" ht="16" customHeight="1">
      <c r="A5" s="57" t="s">
        <v>394</v>
      </c>
      <c r="B5" s="58"/>
      <c r="C5" s="58"/>
      <c r="D5" s="58"/>
      <c r="E5" s="49"/>
      <c r="F5" s="58"/>
      <c r="G5" s="58"/>
      <c r="H5" s="58"/>
      <c r="I5" s="58"/>
      <c r="J5" s="58"/>
    </row>
    <row r="6" spans="1:10" ht="34" customHeight="1">
      <c r="A6" s="59"/>
      <c r="B6" s="58"/>
      <c r="C6" s="58"/>
      <c r="D6" s="58"/>
      <c r="E6" s="49"/>
      <c r="F6" s="58"/>
      <c r="G6" s="84" t="s">
        <v>395</v>
      </c>
      <c r="H6" s="84" t="s">
        <v>395</v>
      </c>
      <c r="I6" s="58"/>
      <c r="J6" s="58"/>
    </row>
    <row r="7" spans="1:10" ht="68" customHeight="1">
      <c r="A7" s="61"/>
      <c r="B7" s="21" t="s">
        <v>396</v>
      </c>
      <c r="C7" s="21" t="s">
        <v>397</v>
      </c>
      <c r="D7" s="21" t="s">
        <v>398</v>
      </c>
      <c r="E7" s="21" t="s">
        <v>399</v>
      </c>
      <c r="F7" s="21" t="s">
        <v>400</v>
      </c>
      <c r="G7" s="85" t="s">
        <v>401</v>
      </c>
      <c r="H7" s="21" t="s">
        <v>402</v>
      </c>
      <c r="I7" s="85" t="s">
        <v>594</v>
      </c>
      <c r="J7" s="61"/>
    </row>
    <row r="8" spans="1:10" ht="16" customHeight="1">
      <c r="A8" s="62">
        <v>1908</v>
      </c>
      <c r="B8" s="64">
        <v>27699</v>
      </c>
      <c r="C8" s="64">
        <v>49790</v>
      </c>
      <c r="D8" s="86">
        <f t="shared" ref="D8:D29" si="0">B8/C8</f>
        <v>0.55631652942357901</v>
      </c>
      <c r="E8" s="64">
        <f t="shared" ref="E8:E29" si="1">F8*D8</f>
        <v>27769.09588270737</v>
      </c>
      <c r="F8" s="87">
        <v>49916</v>
      </c>
      <c r="G8" s="88">
        <f t="shared" ref="G8:G29" si="2">E8*(104.6/103.6)</f>
        <v>28037.137348756671</v>
      </c>
      <c r="H8" s="89">
        <f t="shared" ref="H8:H29" si="3">F8*(104.6/103.6)</f>
        <v>50397.814671814675</v>
      </c>
      <c r="I8" s="90">
        <f>H8/87.52</f>
        <v>575.84340347137424</v>
      </c>
      <c r="J8" s="91"/>
    </row>
    <row r="9" spans="1:10" ht="16" customHeight="1">
      <c r="A9" s="62">
        <v>1909</v>
      </c>
      <c r="B9" s="64">
        <v>32166</v>
      </c>
      <c r="C9" s="64">
        <v>55893</v>
      </c>
      <c r="D9" s="86">
        <f t="shared" si="0"/>
        <v>0.57549245880521716</v>
      </c>
      <c r="E9" s="64">
        <f t="shared" si="1"/>
        <v>32229.304170468575</v>
      </c>
      <c r="F9" s="87">
        <v>56003</v>
      </c>
      <c r="G9" s="88">
        <f t="shared" si="2"/>
        <v>32540.397840067697</v>
      </c>
      <c r="H9" s="89">
        <f t="shared" si="3"/>
        <v>56543.569498069504</v>
      </c>
      <c r="I9" s="90">
        <f t="shared" ref="I9:I29" si="4">H9/87.52</f>
        <v>646.06455093772286</v>
      </c>
      <c r="J9" s="91"/>
    </row>
    <row r="10" spans="1:10" ht="16" customHeight="1">
      <c r="A10" s="62">
        <v>1910</v>
      </c>
      <c r="B10" s="64">
        <v>33360</v>
      </c>
      <c r="C10" s="64">
        <v>56499</v>
      </c>
      <c r="D10" s="86">
        <f t="shared" si="0"/>
        <v>0.59045292837041363</v>
      </c>
      <c r="E10" s="64">
        <f t="shared" si="1"/>
        <v>33423.178463335636</v>
      </c>
      <c r="F10" s="87">
        <v>56606</v>
      </c>
      <c r="G10" s="88">
        <f t="shared" si="2"/>
        <v>33745.796016070541</v>
      </c>
      <c r="H10" s="89">
        <f t="shared" si="3"/>
        <v>57152.389961389963</v>
      </c>
      <c r="I10" s="90">
        <f t="shared" si="4"/>
        <v>653.02090906524188</v>
      </c>
      <c r="J10" s="91"/>
    </row>
    <row r="11" spans="1:10" ht="16" customHeight="1">
      <c r="A11" s="62">
        <v>1911</v>
      </c>
      <c r="B11" s="64">
        <v>34268</v>
      </c>
      <c r="C11" s="64">
        <v>58312</v>
      </c>
      <c r="D11" s="86">
        <f t="shared" si="0"/>
        <v>0.58766634654959526</v>
      </c>
      <c r="E11" s="64">
        <f t="shared" si="1"/>
        <v>34343.22129235835</v>
      </c>
      <c r="F11" s="87">
        <v>58440</v>
      </c>
      <c r="G11" s="88">
        <f t="shared" si="2"/>
        <v>34674.719567381115</v>
      </c>
      <c r="H11" s="89">
        <f t="shared" si="3"/>
        <v>59004.09266409267</v>
      </c>
      <c r="I11" s="90">
        <f t="shared" si="4"/>
        <v>674.17838967199123</v>
      </c>
      <c r="J11" s="91"/>
    </row>
    <row r="12" spans="1:10" ht="16" customHeight="1">
      <c r="A12" s="62">
        <v>1912</v>
      </c>
      <c r="B12" s="64">
        <v>37311</v>
      </c>
      <c r="C12" s="64">
        <v>61058</v>
      </c>
      <c r="D12" s="86">
        <f t="shared" si="0"/>
        <v>0.61107471584395168</v>
      </c>
      <c r="E12" s="64">
        <f t="shared" si="1"/>
        <v>37384.328965901273</v>
      </c>
      <c r="F12" s="87">
        <v>61178</v>
      </c>
      <c r="G12" s="88">
        <f t="shared" si="2"/>
        <v>37745.181562097234</v>
      </c>
      <c r="H12" s="89">
        <f t="shared" si="3"/>
        <v>61768.521235521242</v>
      </c>
      <c r="I12" s="90">
        <f t="shared" si="4"/>
        <v>705.76463934553522</v>
      </c>
      <c r="J12" s="91"/>
    </row>
    <row r="13" spans="1:10" ht="16" customHeight="1">
      <c r="A13" s="62">
        <v>1913</v>
      </c>
      <c r="B13" s="64">
        <v>39067</v>
      </c>
      <c r="C13" s="64">
        <v>63475</v>
      </c>
      <c r="D13" s="86">
        <f t="shared" si="0"/>
        <v>0.61547065773926746</v>
      </c>
      <c r="E13" s="64">
        <f t="shared" si="1"/>
        <v>39139.625537613232</v>
      </c>
      <c r="F13" s="87">
        <v>63593</v>
      </c>
      <c r="G13" s="88">
        <f t="shared" si="2"/>
        <v>39517.421150910661</v>
      </c>
      <c r="H13" s="89">
        <f t="shared" si="3"/>
        <v>64206.832046332049</v>
      </c>
      <c r="I13" s="90">
        <f t="shared" si="4"/>
        <v>733.62468060251433</v>
      </c>
      <c r="J13" s="91"/>
    </row>
    <row r="14" spans="1:10" ht="16" customHeight="1">
      <c r="A14" s="62">
        <v>1914</v>
      </c>
      <c r="B14" s="64">
        <v>36424</v>
      </c>
      <c r="C14" s="64">
        <v>58636</v>
      </c>
      <c r="D14" s="86">
        <f t="shared" si="0"/>
        <v>0.62118834845487414</v>
      </c>
      <c r="E14" s="64">
        <f t="shared" si="1"/>
        <v>36478.664574664028</v>
      </c>
      <c r="F14" s="87">
        <v>58724</v>
      </c>
      <c r="G14" s="88">
        <f t="shared" si="2"/>
        <v>36830.775236581634</v>
      </c>
      <c r="H14" s="89">
        <f t="shared" si="3"/>
        <v>59290.833976833979</v>
      </c>
      <c r="I14" s="90">
        <f t="shared" si="4"/>
        <v>677.45468437881607</v>
      </c>
      <c r="J14" s="91"/>
    </row>
    <row r="15" spans="1:10" ht="16" customHeight="1">
      <c r="A15" s="62">
        <v>1915</v>
      </c>
      <c r="B15" s="64">
        <v>38738</v>
      </c>
      <c r="C15" s="64">
        <v>60424</v>
      </c>
      <c r="D15" s="86">
        <f t="shared" si="0"/>
        <v>0.64110287303058389</v>
      </c>
      <c r="E15" s="64">
        <f t="shared" si="1"/>
        <v>38674.530815569975</v>
      </c>
      <c r="F15" s="87">
        <v>60325</v>
      </c>
      <c r="G15" s="88">
        <f t="shared" si="2"/>
        <v>39047.837097573552</v>
      </c>
      <c r="H15" s="89">
        <f t="shared" si="3"/>
        <v>60907.287644787648</v>
      </c>
      <c r="I15" s="90">
        <f t="shared" si="4"/>
        <v>695.9242189760929</v>
      </c>
      <c r="J15" s="91"/>
    </row>
    <row r="16" spans="1:10" ht="16" customHeight="1">
      <c r="A16" s="62">
        <v>1916</v>
      </c>
      <c r="B16" s="64">
        <v>49768</v>
      </c>
      <c r="C16" s="64">
        <v>68870</v>
      </c>
      <c r="D16" s="86">
        <f t="shared" si="0"/>
        <v>0.72263685204007555</v>
      </c>
      <c r="E16" s="64">
        <f t="shared" si="1"/>
        <v>49637.925366632793</v>
      </c>
      <c r="F16" s="87">
        <v>68690</v>
      </c>
      <c r="G16" s="88">
        <f t="shared" si="2"/>
        <v>50117.055920364772</v>
      </c>
      <c r="H16" s="89">
        <f t="shared" si="3"/>
        <v>69353.030888030888</v>
      </c>
      <c r="I16" s="90">
        <f t="shared" si="4"/>
        <v>792.42494159084652</v>
      </c>
      <c r="J16" s="91"/>
    </row>
    <row r="17" spans="1:10" ht="16" customHeight="1">
      <c r="A17" s="62">
        <v>1917</v>
      </c>
      <c r="B17" s="64">
        <v>59945</v>
      </c>
      <c r="C17" s="64">
        <v>67264</v>
      </c>
      <c r="D17" s="86">
        <f t="shared" si="0"/>
        <v>0.89118993815413894</v>
      </c>
      <c r="E17" s="64">
        <f t="shared" si="1"/>
        <v>59701.70514688392</v>
      </c>
      <c r="F17" s="87">
        <v>66991</v>
      </c>
      <c r="G17" s="88">
        <f t="shared" si="2"/>
        <v>60277.97643208551</v>
      </c>
      <c r="H17" s="89">
        <f t="shared" si="3"/>
        <v>67637.631274131287</v>
      </c>
      <c r="I17" s="90">
        <f t="shared" si="4"/>
        <v>772.82485459473594</v>
      </c>
      <c r="J17" s="91"/>
    </row>
    <row r="18" spans="1:10" ht="16" customHeight="1">
      <c r="A18" s="62">
        <v>1918</v>
      </c>
      <c r="B18" s="64">
        <v>76176</v>
      </c>
      <c r="C18" s="64">
        <v>73361</v>
      </c>
      <c r="D18" s="86">
        <f t="shared" si="0"/>
        <v>1.0383718869699159</v>
      </c>
      <c r="E18" s="64">
        <f t="shared" si="1"/>
        <v>75835.41402107387</v>
      </c>
      <c r="F18" s="87">
        <v>73033</v>
      </c>
      <c r="G18" s="88">
        <f t="shared" si="2"/>
        <v>76567.416086914352</v>
      </c>
      <c r="H18" s="89">
        <f t="shared" si="3"/>
        <v>73737.951737451745</v>
      </c>
      <c r="I18" s="90">
        <f t="shared" si="4"/>
        <v>842.52687085753826</v>
      </c>
      <c r="J18" s="91"/>
    </row>
    <row r="19" spans="1:10" ht="16" customHeight="1">
      <c r="A19" s="62">
        <v>1919</v>
      </c>
      <c r="B19" s="64">
        <v>78907</v>
      </c>
      <c r="C19" s="64">
        <v>74158</v>
      </c>
      <c r="D19" s="86">
        <f t="shared" si="0"/>
        <v>1.0640389438765878</v>
      </c>
      <c r="E19" s="64">
        <f t="shared" si="1"/>
        <v>78333.483009250514</v>
      </c>
      <c r="F19" s="87">
        <v>73619</v>
      </c>
      <c r="G19" s="88">
        <f t="shared" si="2"/>
        <v>79089.597710112008</v>
      </c>
      <c r="H19" s="89">
        <f t="shared" si="3"/>
        <v>74329.608108108121</v>
      </c>
      <c r="I19" s="90">
        <f t="shared" si="4"/>
        <v>849.2871127526065</v>
      </c>
      <c r="J19" s="91"/>
    </row>
    <row r="20" spans="1:10" ht="16" customHeight="1">
      <c r="A20" s="62">
        <v>1920</v>
      </c>
      <c r="B20" s="64">
        <v>88856</v>
      </c>
      <c r="C20" s="64">
        <v>73313</v>
      </c>
      <c r="D20" s="86">
        <f t="shared" si="0"/>
        <v>1.2120087842538159</v>
      </c>
      <c r="E20" s="64">
        <f t="shared" si="1"/>
        <v>88393.012644415052</v>
      </c>
      <c r="F20" s="87">
        <v>72931</v>
      </c>
      <c r="G20" s="88">
        <f t="shared" si="2"/>
        <v>89246.227052179689</v>
      </c>
      <c r="H20" s="89">
        <f t="shared" si="3"/>
        <v>73634.967181467189</v>
      </c>
      <c r="I20" s="90">
        <f t="shared" si="4"/>
        <v>841.3501734628336</v>
      </c>
      <c r="J20" s="91"/>
    </row>
    <row r="21" spans="1:10" ht="16" customHeight="1">
      <c r="A21" s="62">
        <v>1921</v>
      </c>
      <c r="B21" s="64">
        <v>73938</v>
      </c>
      <c r="C21" s="64">
        <v>71583</v>
      </c>
      <c r="D21" s="86">
        <f t="shared" si="0"/>
        <v>1.032898872637358</v>
      </c>
      <c r="E21" s="64">
        <f t="shared" si="1"/>
        <v>73603.340765265501</v>
      </c>
      <c r="F21" s="87">
        <v>71259</v>
      </c>
      <c r="G21" s="88">
        <f t="shared" si="2"/>
        <v>74313.797722459189</v>
      </c>
      <c r="H21" s="89">
        <f t="shared" si="3"/>
        <v>71946.828185328195</v>
      </c>
      <c r="I21" s="90">
        <f t="shared" si="4"/>
        <v>822.06156518885052</v>
      </c>
      <c r="J21" s="91"/>
    </row>
    <row r="22" spans="1:10" ht="16" customHeight="1">
      <c r="A22" s="62">
        <v>1922</v>
      </c>
      <c r="B22" s="64">
        <v>73990</v>
      </c>
      <c r="C22" s="64">
        <v>75788</v>
      </c>
      <c r="D22" s="86">
        <f t="shared" si="0"/>
        <v>0.97627592758748083</v>
      </c>
      <c r="E22" s="64">
        <f t="shared" si="1"/>
        <v>73431.570169419952</v>
      </c>
      <c r="F22" s="87">
        <v>75216</v>
      </c>
      <c r="G22" s="88">
        <f t="shared" si="2"/>
        <v>74140.369109279229</v>
      </c>
      <c r="H22" s="89">
        <f t="shared" si="3"/>
        <v>75942.023166023166</v>
      </c>
      <c r="I22" s="90">
        <f t="shared" si="4"/>
        <v>867.71050235401242</v>
      </c>
      <c r="J22" s="91"/>
    </row>
    <row r="23" spans="1:10" ht="16" customHeight="1">
      <c r="A23" s="62">
        <v>1923</v>
      </c>
      <c r="B23" s="64">
        <v>86115</v>
      </c>
      <c r="C23" s="64">
        <v>85819</v>
      </c>
      <c r="D23" s="86">
        <f t="shared" si="0"/>
        <v>1.0034491196588169</v>
      </c>
      <c r="E23" s="64">
        <f t="shared" si="1"/>
        <v>85413.589065358494</v>
      </c>
      <c r="F23" s="87">
        <v>85120</v>
      </c>
      <c r="G23" s="88">
        <f t="shared" si="2"/>
        <v>86238.044558267371</v>
      </c>
      <c r="H23" s="89">
        <f t="shared" si="3"/>
        <v>85941.621621621627</v>
      </c>
      <c r="I23" s="90">
        <f t="shared" si="4"/>
        <v>981.96551213004602</v>
      </c>
      <c r="J23" s="91"/>
    </row>
    <row r="24" spans="1:10" ht="16" customHeight="1">
      <c r="A24" s="62">
        <v>1924</v>
      </c>
      <c r="B24" s="64">
        <v>87561</v>
      </c>
      <c r="C24" s="64">
        <v>88361</v>
      </c>
      <c r="D24" s="86">
        <f t="shared" si="0"/>
        <v>0.99094623193490339</v>
      </c>
      <c r="E24" s="64">
        <f t="shared" si="1"/>
        <v>86946.61333620036</v>
      </c>
      <c r="F24" s="87">
        <v>87741</v>
      </c>
      <c r="G24" s="88">
        <f t="shared" si="2"/>
        <v>87785.866360681073</v>
      </c>
      <c r="H24" s="89">
        <f t="shared" si="3"/>
        <v>88587.920849420858</v>
      </c>
      <c r="I24" s="90">
        <f t="shared" si="4"/>
        <v>1012.20202067437</v>
      </c>
      <c r="J24" s="91"/>
    </row>
    <row r="25" spans="1:10" ht="16" customHeight="1">
      <c r="A25" s="62">
        <v>1925</v>
      </c>
      <c r="B25" s="64">
        <v>91308</v>
      </c>
      <c r="C25" s="64">
        <v>90529</v>
      </c>
      <c r="D25" s="86">
        <f t="shared" si="0"/>
        <v>1.0086049774105534</v>
      </c>
      <c r="E25" s="64">
        <f t="shared" si="1"/>
        <v>90574.744181422517</v>
      </c>
      <c r="F25" s="87">
        <v>89802</v>
      </c>
      <c r="G25" s="88">
        <f t="shared" si="2"/>
        <v>91449.017773907297</v>
      </c>
      <c r="H25" s="89">
        <f t="shared" si="3"/>
        <v>90668.814671814675</v>
      </c>
      <c r="I25" s="90">
        <f t="shared" si="4"/>
        <v>1035.9782297967856</v>
      </c>
      <c r="J25" s="91"/>
    </row>
    <row r="26" spans="1:10" ht="16" customHeight="1">
      <c r="A26" s="62">
        <v>1926</v>
      </c>
      <c r="B26" s="64">
        <v>97694</v>
      </c>
      <c r="C26" s="64">
        <v>96405</v>
      </c>
      <c r="D26" s="86">
        <f t="shared" si="0"/>
        <v>1.013370675794824</v>
      </c>
      <c r="E26" s="64">
        <f t="shared" si="1"/>
        <v>96949.172553290817</v>
      </c>
      <c r="F26" s="87">
        <v>95670</v>
      </c>
      <c r="G26" s="88">
        <f t="shared" si="2"/>
        <v>97884.975377164286</v>
      </c>
      <c r="H26" s="89">
        <f t="shared" si="3"/>
        <v>96593.455598455606</v>
      </c>
      <c r="I26" s="90">
        <f t="shared" si="4"/>
        <v>1103.6729387392095</v>
      </c>
      <c r="J26" s="91"/>
    </row>
    <row r="27" spans="1:10" ht="16" customHeight="1">
      <c r="A27" s="62">
        <v>1927</v>
      </c>
      <c r="B27" s="64">
        <v>96279</v>
      </c>
      <c r="C27" s="64">
        <v>97337</v>
      </c>
      <c r="D27" s="86">
        <f t="shared" si="0"/>
        <v>0.98913054645201726</v>
      </c>
      <c r="E27" s="64">
        <f t="shared" si="1"/>
        <v>95544.076003986149</v>
      </c>
      <c r="F27" s="87">
        <v>96594</v>
      </c>
      <c r="G27" s="88">
        <f t="shared" si="2"/>
        <v>96466.316119854746</v>
      </c>
      <c r="H27" s="89">
        <f t="shared" si="3"/>
        <v>97526.374517374526</v>
      </c>
      <c r="I27" s="90">
        <f t="shared" si="4"/>
        <v>1114.3324327853579</v>
      </c>
      <c r="J27" s="91"/>
    </row>
    <row r="28" spans="1:10" ht="16" customHeight="1">
      <c r="A28" s="62">
        <v>1928</v>
      </c>
      <c r="B28" s="64">
        <v>98164</v>
      </c>
      <c r="C28" s="64">
        <v>98503</v>
      </c>
      <c r="D28" s="86">
        <f t="shared" si="0"/>
        <v>0.99655848045237205</v>
      </c>
      <c r="E28" s="64">
        <f t="shared" si="1"/>
        <v>97364.760098677201</v>
      </c>
      <c r="F28" s="87">
        <v>97701</v>
      </c>
      <c r="G28" s="88">
        <f t="shared" si="2"/>
        <v>98304.574385343978</v>
      </c>
      <c r="H28" s="89">
        <f t="shared" si="3"/>
        <v>98644.059845559852</v>
      </c>
      <c r="I28" s="90">
        <f t="shared" si="4"/>
        <v>1127.1030603925944</v>
      </c>
      <c r="J28" s="91"/>
    </row>
    <row r="29" spans="1:10" ht="16" customHeight="1">
      <c r="A29" s="62">
        <v>1929</v>
      </c>
      <c r="B29" s="64">
        <v>104436</v>
      </c>
      <c r="C29" s="64">
        <v>104436</v>
      </c>
      <c r="D29" s="86">
        <f t="shared" si="0"/>
        <v>1</v>
      </c>
      <c r="E29" s="64">
        <f t="shared" si="1"/>
        <v>103626</v>
      </c>
      <c r="F29" s="87">
        <v>103626</v>
      </c>
      <c r="G29" s="88">
        <f t="shared" si="2"/>
        <v>104626.25096525098</v>
      </c>
      <c r="H29" s="89">
        <f t="shared" si="3"/>
        <v>104626.25096525098</v>
      </c>
      <c r="I29" s="90">
        <f t="shared" si="4"/>
        <v>1195.4553355261767</v>
      </c>
      <c r="J29" s="91"/>
    </row>
    <row r="30" spans="1:10" ht="16" customHeight="1">
      <c r="A30" s="59"/>
      <c r="B30" s="58"/>
      <c r="C30" s="58"/>
      <c r="D30" s="58"/>
      <c r="E30" s="49"/>
      <c r="F30" s="58"/>
      <c r="G30" s="92"/>
      <c r="H30" s="58"/>
      <c r="I30" s="92"/>
      <c r="J30" s="58"/>
    </row>
    <row r="31" spans="1:10" ht="18" customHeight="1">
      <c r="A31" s="93"/>
      <c r="B31" s="94"/>
      <c r="C31" s="94"/>
      <c r="D31" s="94"/>
      <c r="E31" s="95"/>
      <c r="F31" s="94"/>
      <c r="G31" s="94"/>
      <c r="H31" s="94"/>
      <c r="I31" s="94"/>
      <c r="J31" s="58"/>
    </row>
    <row r="32" spans="1:10" ht="18" customHeight="1">
      <c r="A32" s="93"/>
      <c r="B32" s="96" t="s">
        <v>403</v>
      </c>
      <c r="C32" s="94"/>
      <c r="D32" s="94"/>
      <c r="E32" s="95"/>
      <c r="F32" s="94"/>
      <c r="G32" s="94"/>
      <c r="H32" s="94"/>
      <c r="I32" s="94"/>
      <c r="J32" s="58"/>
    </row>
    <row r="33" spans="1:11" ht="18" customHeight="1">
      <c r="A33" s="93"/>
      <c r="B33" s="96" t="s">
        <v>404</v>
      </c>
      <c r="C33" s="94"/>
      <c r="D33" s="94"/>
      <c r="E33" s="95"/>
      <c r="F33" s="94"/>
      <c r="G33" s="94"/>
      <c r="H33" s="94"/>
      <c r="I33" s="94"/>
      <c r="J33" s="58"/>
    </row>
    <row r="34" spans="1:11" ht="18" customHeight="1">
      <c r="A34" s="93"/>
      <c r="B34" s="96" t="s">
        <v>405</v>
      </c>
      <c r="C34" s="94"/>
      <c r="D34" s="94"/>
      <c r="E34" s="95"/>
      <c r="F34" s="94"/>
      <c r="G34" s="94"/>
      <c r="H34" s="94"/>
      <c r="I34" s="94"/>
      <c r="J34" s="58"/>
    </row>
    <row r="35" spans="1:11" ht="18" customHeight="1">
      <c r="A35" s="93"/>
      <c r="B35" s="94"/>
      <c r="C35" s="94"/>
      <c r="D35" s="94"/>
      <c r="E35" s="95"/>
      <c r="F35" s="94"/>
      <c r="G35" s="94"/>
      <c r="H35" s="94"/>
      <c r="I35" s="94"/>
      <c r="J35" s="58"/>
    </row>
    <row r="36" spans="1:11" ht="18" customHeight="1">
      <c r="A36" s="93"/>
      <c r="B36" s="96" t="s">
        <v>406</v>
      </c>
      <c r="C36" s="94"/>
      <c r="D36" s="94"/>
      <c r="E36" s="95"/>
      <c r="F36" s="94"/>
      <c r="G36" s="94"/>
      <c r="H36" s="94"/>
      <c r="I36" s="94"/>
      <c r="J36" s="218"/>
      <c r="K36" s="200"/>
    </row>
    <row r="37" spans="1:11" ht="18" customHeight="1">
      <c r="A37" s="59"/>
      <c r="B37" s="96" t="s">
        <v>407</v>
      </c>
      <c r="C37" s="58"/>
      <c r="D37" s="58"/>
      <c r="E37" s="49"/>
      <c r="F37" s="58"/>
      <c r="G37" s="58"/>
      <c r="H37" s="58"/>
      <c r="I37" s="217"/>
      <c r="J37" s="219"/>
      <c r="K37" s="206"/>
    </row>
    <row r="38" spans="1:11" ht="18" customHeight="1">
      <c r="A38" s="59"/>
      <c r="B38" s="96" t="s">
        <v>408</v>
      </c>
      <c r="C38" s="58"/>
      <c r="D38" s="58"/>
      <c r="E38" s="49"/>
      <c r="F38" s="58"/>
      <c r="G38" s="58"/>
      <c r="H38" s="58"/>
      <c r="I38" s="217"/>
      <c r="J38" s="219"/>
      <c r="K38" s="206"/>
    </row>
    <row r="39" spans="1:11" ht="18" customHeight="1">
      <c r="A39" s="59"/>
      <c r="B39" s="96" t="s">
        <v>624</v>
      </c>
      <c r="C39" s="58"/>
      <c r="D39" s="58"/>
      <c r="E39" s="49"/>
      <c r="F39" s="58"/>
      <c r="G39" s="58"/>
      <c r="H39" s="58"/>
      <c r="I39" s="217"/>
      <c r="J39" s="219"/>
      <c r="K39" s="206"/>
    </row>
  </sheetData>
  <pageMargins left="0.7" right="0.7" top="0.75" bottom="0.75" header="0.3" footer="0.3"/>
  <pageSetup orientation="portrait"/>
  <headerFooter>
    <oddFooter>&amp;C&amp;"Helvetica Neue,Regular"&amp;12&amp;K000000&amp;P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27"/>
  <sheetViews>
    <sheetView showGridLines="0" workbookViewId="0"/>
  </sheetViews>
  <sheetFormatPr baseColWidth="10" defaultColWidth="11.5" defaultRowHeight="16" customHeight="1"/>
  <cols>
    <col min="1" max="3" width="11.5" style="4" customWidth="1"/>
    <col min="4" max="4" width="13.83203125" style="4" customWidth="1"/>
    <col min="5" max="9" width="11.5" style="4" customWidth="1"/>
    <col min="10" max="16384" width="11.5" style="4"/>
  </cols>
  <sheetData>
    <row r="1" spans="1:8" ht="17.5" customHeight="1">
      <c r="A1" s="74" t="s">
        <v>410</v>
      </c>
      <c r="B1" s="6"/>
      <c r="C1" s="6"/>
      <c r="D1" s="6"/>
      <c r="E1" s="6"/>
      <c r="F1" s="6"/>
      <c r="G1" s="6"/>
      <c r="H1" s="6"/>
    </row>
    <row r="2" spans="1:8" ht="17.5" customHeight="1">
      <c r="A2" s="74" t="s">
        <v>411</v>
      </c>
      <c r="B2" s="6"/>
      <c r="C2" s="6"/>
      <c r="D2" s="6"/>
      <c r="E2" s="6"/>
      <c r="F2" s="6"/>
      <c r="G2" s="6"/>
      <c r="H2" s="6"/>
    </row>
    <row r="3" spans="1:8" ht="17.5" customHeight="1">
      <c r="A3" s="74" t="s">
        <v>412</v>
      </c>
      <c r="B3" s="6"/>
      <c r="C3" s="6"/>
      <c r="D3" s="6"/>
      <c r="E3" s="6"/>
      <c r="F3" s="6"/>
      <c r="G3" s="6"/>
      <c r="H3" s="6"/>
    </row>
    <row r="4" spans="1:8" ht="51" customHeight="1">
      <c r="A4" s="6"/>
      <c r="B4" s="8" t="s">
        <v>413</v>
      </c>
      <c r="C4" s="8" t="s">
        <v>414</v>
      </c>
      <c r="D4" s="12" t="s">
        <v>415</v>
      </c>
      <c r="E4" s="6"/>
      <c r="F4" s="6"/>
      <c r="G4" s="6"/>
      <c r="H4" s="6"/>
    </row>
    <row r="5" spans="1:8" ht="17.5" customHeight="1">
      <c r="A5" s="8" t="s">
        <v>254</v>
      </c>
      <c r="B5" s="22">
        <v>1001</v>
      </c>
      <c r="C5" s="22">
        <v>383</v>
      </c>
      <c r="D5" s="25">
        <f t="shared" ref="D5:D27" si="0">B5/2</f>
        <v>500.5</v>
      </c>
      <c r="E5" s="25"/>
      <c r="F5" s="69">
        <f t="shared" ref="F5:F27" si="1">C5/B5</f>
        <v>0.3826173826173826</v>
      </c>
      <c r="G5" s="6"/>
      <c r="H5" s="6"/>
    </row>
    <row r="6" spans="1:8" ht="17.5" customHeight="1">
      <c r="A6" s="8" t="s">
        <v>256</v>
      </c>
      <c r="B6" s="22">
        <v>1400</v>
      </c>
      <c r="C6" s="22">
        <v>492</v>
      </c>
      <c r="D6" s="25">
        <f t="shared" si="0"/>
        <v>700</v>
      </c>
      <c r="E6" s="25"/>
      <c r="F6" s="69">
        <f t="shared" si="1"/>
        <v>0.35142857142857142</v>
      </c>
      <c r="G6" s="6"/>
      <c r="H6" s="6"/>
    </row>
    <row r="7" spans="1:8" ht="17.5" customHeight="1">
      <c r="A7" s="22">
        <v>1889</v>
      </c>
      <c r="B7" s="22">
        <v>1689</v>
      </c>
      <c r="C7" s="22">
        <v>623</v>
      </c>
      <c r="D7" s="25">
        <f t="shared" si="0"/>
        <v>844.5</v>
      </c>
      <c r="E7" s="25"/>
      <c r="F7" s="69">
        <f t="shared" si="1"/>
        <v>0.36885731201894612</v>
      </c>
      <c r="G7" s="22">
        <v>85.551134602230306</v>
      </c>
      <c r="H7" s="33">
        <f t="shared" ref="H7:H27" si="2">F7/G7</f>
        <v>4.311542023772646E-3</v>
      </c>
    </row>
    <row r="8" spans="1:8" ht="17.5" customHeight="1">
      <c r="A8" s="22">
        <v>1890</v>
      </c>
      <c r="B8" s="22">
        <v>1756</v>
      </c>
      <c r="C8" s="22">
        <v>661</v>
      </c>
      <c r="D8" s="25">
        <f t="shared" si="0"/>
        <v>878</v>
      </c>
      <c r="E8" s="25"/>
      <c r="F8" s="69">
        <f t="shared" si="1"/>
        <v>0.37642369020501137</v>
      </c>
      <c r="G8" s="22">
        <v>84.538624761876207</v>
      </c>
      <c r="H8" s="33">
        <f t="shared" si="2"/>
        <v>4.4526829158304986E-3</v>
      </c>
    </row>
    <row r="9" spans="1:8" ht="17.5" customHeight="1">
      <c r="A9" s="22">
        <v>1891</v>
      </c>
      <c r="B9" s="22">
        <v>1825</v>
      </c>
      <c r="C9" s="22">
        <v>694</v>
      </c>
      <c r="D9" s="25">
        <f t="shared" si="0"/>
        <v>912.5</v>
      </c>
      <c r="E9" s="25"/>
      <c r="F9" s="69">
        <f t="shared" si="1"/>
        <v>0.38027397260273971</v>
      </c>
      <c r="G9" s="22">
        <v>85.067576806247004</v>
      </c>
      <c r="H9" s="33">
        <f t="shared" si="2"/>
        <v>4.4702574926856736E-3</v>
      </c>
    </row>
    <row r="10" spans="1:8" ht="17.5" customHeight="1">
      <c r="A10" s="22">
        <v>1892</v>
      </c>
      <c r="B10" s="22">
        <v>1909</v>
      </c>
      <c r="C10" s="22">
        <v>722</v>
      </c>
      <c r="D10" s="25">
        <f t="shared" si="0"/>
        <v>954.5</v>
      </c>
      <c r="E10" s="25"/>
      <c r="F10" s="69">
        <f t="shared" si="1"/>
        <v>0.37820848611838659</v>
      </c>
      <c r="G10" s="22">
        <v>85.596528850617801</v>
      </c>
      <c r="H10" s="33">
        <f t="shared" si="2"/>
        <v>4.4185026098246608E-3</v>
      </c>
    </row>
    <row r="11" spans="1:8" ht="17.5" customHeight="1">
      <c r="A11" s="22">
        <v>1893</v>
      </c>
      <c r="B11" s="22">
        <v>1976</v>
      </c>
      <c r="C11" s="22">
        <v>756</v>
      </c>
      <c r="D11" s="25">
        <f t="shared" si="0"/>
        <v>988</v>
      </c>
      <c r="E11" s="25"/>
      <c r="F11" s="69">
        <f t="shared" si="1"/>
        <v>0.38259109311740891</v>
      </c>
      <c r="G11" s="22">
        <v>85.335338868429105</v>
      </c>
      <c r="H11" s="33">
        <f t="shared" si="2"/>
        <v>4.4833840023450512E-3</v>
      </c>
    </row>
    <row r="12" spans="1:8" ht="17.5" customHeight="1">
      <c r="A12" s="22">
        <v>1894</v>
      </c>
      <c r="B12" s="22">
        <v>2026</v>
      </c>
      <c r="C12" s="22">
        <v>753</v>
      </c>
      <c r="D12" s="25">
        <f t="shared" si="0"/>
        <v>1013</v>
      </c>
      <c r="E12" s="25"/>
      <c r="F12" s="69">
        <f t="shared" si="1"/>
        <v>0.37166831194471867</v>
      </c>
      <c r="G12" s="22">
        <v>81.884464153706602</v>
      </c>
      <c r="H12" s="33">
        <f t="shared" si="2"/>
        <v>4.5389356306594899E-3</v>
      </c>
    </row>
    <row r="13" spans="1:8" ht="17.5" customHeight="1">
      <c r="A13" s="22">
        <v>1895</v>
      </c>
      <c r="B13" s="22">
        <v>2049</v>
      </c>
      <c r="C13" s="22">
        <v>773</v>
      </c>
      <c r="D13" s="25">
        <f t="shared" si="0"/>
        <v>1024.5</v>
      </c>
      <c r="E13" s="25"/>
      <c r="F13" s="69">
        <f t="shared" si="1"/>
        <v>0.37725719863347973</v>
      </c>
      <c r="G13" s="22">
        <v>80.784604434465606</v>
      </c>
      <c r="H13" s="33">
        <f t="shared" si="2"/>
        <v>4.6699145372373491E-3</v>
      </c>
    </row>
    <row r="14" spans="1:8" ht="17.5" customHeight="1">
      <c r="A14" s="22">
        <v>1896</v>
      </c>
      <c r="B14" s="22">
        <v>2105</v>
      </c>
      <c r="C14" s="22">
        <v>799</v>
      </c>
      <c r="D14" s="25">
        <f t="shared" si="0"/>
        <v>1052.5</v>
      </c>
      <c r="E14" s="25"/>
      <c r="F14" s="69">
        <f t="shared" si="1"/>
        <v>0.37957244655581945</v>
      </c>
      <c r="G14" s="22">
        <v>81.274734310442199</v>
      </c>
      <c r="H14" s="33">
        <f t="shared" si="2"/>
        <v>4.670239155824E-3</v>
      </c>
    </row>
    <row r="15" spans="1:8" ht="17.5" customHeight="1">
      <c r="A15" s="22">
        <v>1897</v>
      </c>
      <c r="B15" s="22">
        <v>2224</v>
      </c>
      <c r="C15" s="22">
        <v>844</v>
      </c>
      <c r="D15" s="25">
        <f t="shared" si="0"/>
        <v>1112</v>
      </c>
      <c r="E15" s="25"/>
      <c r="F15" s="69">
        <f t="shared" si="1"/>
        <v>0.37949640287769787</v>
      </c>
      <c r="G15" s="22">
        <v>80.955311075662195</v>
      </c>
      <c r="H15" s="33">
        <f t="shared" si="2"/>
        <v>4.6877270661465822E-3</v>
      </c>
    </row>
    <row r="16" spans="1:8" ht="17.5" customHeight="1">
      <c r="A16" s="22">
        <v>1898</v>
      </c>
      <c r="B16" s="22">
        <v>2579</v>
      </c>
      <c r="C16" s="22">
        <v>1034</v>
      </c>
      <c r="D16" s="25">
        <f t="shared" si="0"/>
        <v>1289.5</v>
      </c>
      <c r="E16" s="25"/>
      <c r="F16" s="69">
        <f t="shared" si="1"/>
        <v>0.40093059325319891</v>
      </c>
      <c r="G16" s="22">
        <v>81.440588180589501</v>
      </c>
      <c r="H16" s="33">
        <f t="shared" si="2"/>
        <v>4.9229825350003602E-3</v>
      </c>
    </row>
    <row r="17" spans="1:8" ht="17.5" customHeight="1">
      <c r="A17" s="22">
        <v>1899</v>
      </c>
      <c r="B17" s="22">
        <v>2582</v>
      </c>
      <c r="C17" s="22">
        <v>1098</v>
      </c>
      <c r="D17" s="25">
        <f t="shared" si="0"/>
        <v>1291</v>
      </c>
      <c r="E17" s="25"/>
      <c r="F17" s="69">
        <f t="shared" si="1"/>
        <v>0.4252517428350116</v>
      </c>
      <c r="G17" s="22">
        <v>81.925865285516906</v>
      </c>
      <c r="H17" s="33">
        <f t="shared" si="2"/>
        <v>5.1906896723395227E-3</v>
      </c>
    </row>
    <row r="18" spans="1:8" ht="17.5" customHeight="1">
      <c r="A18" s="22">
        <v>1900</v>
      </c>
      <c r="B18" s="22">
        <v>2579</v>
      </c>
      <c r="C18" s="22">
        <v>1124</v>
      </c>
      <c r="D18" s="25">
        <f t="shared" si="0"/>
        <v>1289.5</v>
      </c>
      <c r="E18" s="25"/>
      <c r="F18" s="69">
        <f t="shared" si="1"/>
        <v>0.43582784024815818</v>
      </c>
      <c r="G18" s="22">
        <v>85.4055968531205</v>
      </c>
      <c r="H18" s="33">
        <f t="shared" si="2"/>
        <v>5.1030360574341469E-3</v>
      </c>
    </row>
    <row r="19" spans="1:8" ht="17.5" customHeight="1">
      <c r="A19" s="22">
        <v>1901</v>
      </c>
      <c r="B19" s="22">
        <v>2652</v>
      </c>
      <c r="C19" s="22">
        <v>1148</v>
      </c>
      <c r="D19" s="25">
        <f t="shared" si="0"/>
        <v>1326</v>
      </c>
      <c r="E19" s="25"/>
      <c r="F19" s="69">
        <f t="shared" si="1"/>
        <v>0.43288084464555054</v>
      </c>
      <c r="G19" s="22">
        <v>88.938011052699395</v>
      </c>
      <c r="H19" s="33">
        <f t="shared" si="2"/>
        <v>4.8672197581420057E-3</v>
      </c>
    </row>
    <row r="20" spans="1:8" ht="17.5" customHeight="1">
      <c r="A20" s="22">
        <v>1902</v>
      </c>
      <c r="B20" s="22">
        <v>2750</v>
      </c>
      <c r="C20" s="22">
        <v>1237</v>
      </c>
      <c r="D20" s="25">
        <f t="shared" si="0"/>
        <v>1375</v>
      </c>
      <c r="E20" s="25"/>
      <c r="F20" s="69">
        <f t="shared" si="1"/>
        <v>0.44981818181818184</v>
      </c>
      <c r="G20" s="22">
        <v>92.523107884253406</v>
      </c>
      <c r="H20" s="33">
        <f t="shared" si="2"/>
        <v>4.8616847412962533E-3</v>
      </c>
    </row>
    <row r="21" spans="1:8" ht="17.5" customHeight="1">
      <c r="A21" s="22">
        <v>1903</v>
      </c>
      <c r="B21" s="22">
        <v>3003</v>
      </c>
      <c r="C21" s="22">
        <v>1413</v>
      </c>
      <c r="D21" s="25">
        <f t="shared" si="0"/>
        <v>1501.5</v>
      </c>
      <c r="E21" s="25"/>
      <c r="F21" s="69">
        <f t="shared" si="1"/>
        <v>0.47052947052947053</v>
      </c>
      <c r="G21" s="22">
        <v>98.010135181393906</v>
      </c>
      <c r="H21" s="33">
        <f t="shared" si="2"/>
        <v>4.8008246255209237E-3</v>
      </c>
    </row>
    <row r="22" spans="1:8" ht="17.5" customHeight="1">
      <c r="A22" s="22">
        <v>1904</v>
      </c>
      <c r="B22" s="22">
        <v>2999</v>
      </c>
      <c r="C22" s="22">
        <v>1366</v>
      </c>
      <c r="D22" s="25">
        <f t="shared" si="0"/>
        <v>1499.5</v>
      </c>
      <c r="E22" s="25"/>
      <c r="F22" s="69">
        <f t="shared" si="1"/>
        <v>0.45548516172057352</v>
      </c>
      <c r="G22" s="22">
        <v>101.75327990887401</v>
      </c>
      <c r="H22" s="33">
        <f t="shared" si="2"/>
        <v>4.4763683502732007E-3</v>
      </c>
    </row>
    <row r="23" spans="1:8" ht="17.5" customHeight="1">
      <c r="A23" s="22">
        <v>1905</v>
      </c>
      <c r="B23" s="22">
        <v>3223</v>
      </c>
      <c r="C23" s="22">
        <v>1527</v>
      </c>
      <c r="D23" s="25">
        <f t="shared" si="0"/>
        <v>1611.5</v>
      </c>
      <c r="E23" s="25"/>
      <c r="F23" s="69">
        <f t="shared" si="1"/>
        <v>0.47378219050574</v>
      </c>
      <c r="G23" s="22">
        <v>103.59449417076701</v>
      </c>
      <c r="H23" s="33">
        <f t="shared" si="2"/>
        <v>4.5734302223122882E-3</v>
      </c>
    </row>
    <row r="24" spans="1:8" ht="17.5" customHeight="1">
      <c r="A24" s="22">
        <v>1906</v>
      </c>
      <c r="B24" s="22">
        <v>3282</v>
      </c>
      <c r="C24" s="22">
        <v>1620</v>
      </c>
      <c r="D24" s="25">
        <f t="shared" si="0"/>
        <v>1641</v>
      </c>
      <c r="E24" s="25"/>
      <c r="F24" s="69">
        <f t="shared" si="1"/>
        <v>0.49360146252285192</v>
      </c>
      <c r="G24" s="22">
        <v>108.39396939498999</v>
      </c>
      <c r="H24" s="33">
        <f t="shared" si="2"/>
        <v>4.5537723664695537E-3</v>
      </c>
    </row>
    <row r="25" spans="1:8" ht="17.5" customHeight="1">
      <c r="A25" s="22">
        <v>1907</v>
      </c>
      <c r="B25" s="22">
        <v>3640</v>
      </c>
      <c r="C25" s="22">
        <v>1891</v>
      </c>
      <c r="D25" s="25">
        <f t="shared" si="0"/>
        <v>1820</v>
      </c>
      <c r="E25" s="25"/>
      <c r="F25" s="69">
        <f t="shared" si="1"/>
        <v>0.51950549450549455</v>
      </c>
      <c r="G25" s="22">
        <v>116.388777425432</v>
      </c>
      <c r="H25" s="33">
        <f t="shared" si="2"/>
        <v>4.4635359696799937E-3</v>
      </c>
    </row>
    <row r="26" spans="1:8" ht="17.5" customHeight="1">
      <c r="A26" s="22">
        <v>1908</v>
      </c>
      <c r="B26" s="22">
        <v>4085</v>
      </c>
      <c r="C26" s="22">
        <v>2108</v>
      </c>
      <c r="D26" s="25">
        <f t="shared" si="0"/>
        <v>2042.5</v>
      </c>
      <c r="E26" s="25"/>
      <c r="F26" s="69">
        <f t="shared" si="1"/>
        <v>0.51603427172582617</v>
      </c>
      <c r="G26" s="22">
        <v>117.252685138545</v>
      </c>
      <c r="H26" s="33">
        <f t="shared" si="2"/>
        <v>4.4010443864554863E-3</v>
      </c>
    </row>
    <row r="27" spans="1:8" ht="17.5" customHeight="1">
      <c r="A27" s="22">
        <v>1909</v>
      </c>
      <c r="B27" s="22">
        <v>3756</v>
      </c>
      <c r="C27" s="22">
        <v>1924</v>
      </c>
      <c r="D27" s="25">
        <f t="shared" si="0"/>
        <v>1878</v>
      </c>
      <c r="E27" s="25"/>
      <c r="F27" s="69">
        <f t="shared" si="1"/>
        <v>0.51224707135250269</v>
      </c>
      <c r="G27" s="22">
        <v>118.011227587707</v>
      </c>
      <c r="H27" s="33">
        <f t="shared" si="2"/>
        <v>4.3406638658325634E-3</v>
      </c>
    </row>
  </sheetData>
  <pageMargins left="0.75" right="0.75" top="1" bottom="1" header="0.5" footer="0.5"/>
  <pageSetup orientation="portrait"/>
  <headerFooter>
    <oddFooter>&amp;C&amp;"Helvetica Neue,Regular"&amp;12&amp;K000000&amp;P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14"/>
  <sheetViews>
    <sheetView showGridLines="0" workbookViewId="0"/>
  </sheetViews>
  <sheetFormatPr baseColWidth="10" defaultColWidth="11.5" defaultRowHeight="16" customHeight="1"/>
  <cols>
    <col min="1" max="1" width="11.5" style="4" customWidth="1"/>
    <col min="2" max="2" width="12.33203125" style="4" customWidth="1"/>
    <col min="3" max="3" width="13.5" style="4" customWidth="1"/>
    <col min="4" max="4" width="12.33203125" style="4" customWidth="1"/>
    <col min="5" max="5" width="21.1640625" style="4" customWidth="1"/>
    <col min="6" max="6" width="11.5" style="4" customWidth="1"/>
    <col min="7" max="16384" width="11.5" style="4"/>
  </cols>
  <sheetData>
    <row r="1" spans="1:5" ht="17.5" customHeight="1">
      <c r="A1" s="74" t="s">
        <v>417</v>
      </c>
      <c r="B1" s="6"/>
      <c r="C1" s="6"/>
      <c r="D1" s="6"/>
      <c r="E1" s="6"/>
    </row>
    <row r="2" spans="1:5" ht="17.5" customHeight="1">
      <c r="A2" s="74" t="s">
        <v>418</v>
      </c>
      <c r="B2" s="6"/>
      <c r="C2" s="6"/>
      <c r="D2" s="6"/>
      <c r="E2" s="6"/>
    </row>
    <row r="3" spans="1:5" ht="17.5" customHeight="1">
      <c r="A3" s="74" t="s">
        <v>419</v>
      </c>
      <c r="B3" s="6"/>
      <c r="C3" s="6"/>
      <c r="D3" s="6"/>
      <c r="E3" s="6"/>
    </row>
    <row r="4" spans="1:5" ht="17.5" customHeight="1">
      <c r="A4" s="74" t="s">
        <v>420</v>
      </c>
      <c r="B4" s="6"/>
      <c r="C4" s="6"/>
      <c r="D4" s="6"/>
      <c r="E4" s="6"/>
    </row>
    <row r="5" spans="1:5" ht="17.5" customHeight="1">
      <c r="A5" s="74" t="s">
        <v>305</v>
      </c>
      <c r="B5" s="6"/>
      <c r="C5" s="6"/>
      <c r="D5" s="6"/>
      <c r="E5" s="6"/>
    </row>
    <row r="6" spans="1:5" ht="13.75" customHeight="1">
      <c r="A6" s="6"/>
      <c r="B6" s="6"/>
      <c r="C6" s="6"/>
      <c r="D6" s="6"/>
      <c r="E6" s="6"/>
    </row>
    <row r="7" spans="1:5" ht="51" customHeight="1">
      <c r="A7" s="8" t="s">
        <v>95</v>
      </c>
      <c r="B7" s="8" t="s">
        <v>421</v>
      </c>
      <c r="C7" s="8" t="s">
        <v>422</v>
      </c>
      <c r="D7" s="8" t="s">
        <v>423</v>
      </c>
      <c r="E7" s="8" t="s">
        <v>424</v>
      </c>
    </row>
    <row r="8" spans="1:5" ht="17.5" customHeight="1">
      <c r="A8" s="22">
        <v>1839</v>
      </c>
      <c r="B8" s="22">
        <v>4500</v>
      </c>
      <c r="C8" s="22">
        <v>20340</v>
      </c>
      <c r="D8" s="22">
        <f t="shared" ref="D8:D14" si="0">SUM(B8:C8)</f>
        <v>24840</v>
      </c>
      <c r="E8" s="97">
        <f t="shared" ref="E8:E14" si="1">B8/D8</f>
        <v>0.18115942028985507</v>
      </c>
    </row>
    <row r="9" spans="1:5" ht="17.5" customHeight="1">
      <c r="A9" s="22">
        <v>1849</v>
      </c>
      <c r="B9" s="22">
        <v>7100</v>
      </c>
      <c r="C9" s="22">
        <v>23280</v>
      </c>
      <c r="D9" s="22">
        <f t="shared" si="0"/>
        <v>30380</v>
      </c>
      <c r="E9" s="97">
        <f t="shared" si="1"/>
        <v>0.23370638578011849</v>
      </c>
    </row>
    <row r="10" spans="1:5" ht="17.5" customHeight="1">
      <c r="A10" s="22">
        <v>1859</v>
      </c>
      <c r="B10" s="22">
        <v>16600</v>
      </c>
      <c r="C10" s="22">
        <v>50470</v>
      </c>
      <c r="D10" s="22">
        <f t="shared" si="0"/>
        <v>67070</v>
      </c>
      <c r="E10" s="97">
        <f t="shared" si="1"/>
        <v>0.24750260921425377</v>
      </c>
    </row>
    <row r="11" spans="1:5" ht="17.5" customHeight="1">
      <c r="A11" s="22">
        <v>1869</v>
      </c>
      <c r="B11" s="22">
        <v>32500</v>
      </c>
      <c r="C11" s="22">
        <v>39931</v>
      </c>
      <c r="D11" s="22">
        <f t="shared" si="0"/>
        <v>72431</v>
      </c>
      <c r="E11" s="97">
        <f t="shared" si="1"/>
        <v>0.44870290345294139</v>
      </c>
    </row>
    <row r="12" spans="1:5" ht="17.5" customHeight="1">
      <c r="A12" s="22">
        <v>1879</v>
      </c>
      <c r="B12" s="22">
        <v>42500</v>
      </c>
      <c r="C12" s="22">
        <v>52425</v>
      </c>
      <c r="D12" s="22">
        <f t="shared" si="0"/>
        <v>94925</v>
      </c>
      <c r="E12" s="97">
        <f t="shared" si="1"/>
        <v>0.44772188569923627</v>
      </c>
    </row>
    <row r="13" spans="1:5" ht="17.5" customHeight="1">
      <c r="A13" s="22">
        <v>1889</v>
      </c>
      <c r="B13" s="22">
        <v>66000</v>
      </c>
      <c r="C13" s="22">
        <v>149650</v>
      </c>
      <c r="D13" s="22">
        <f t="shared" si="0"/>
        <v>215650</v>
      </c>
      <c r="E13" s="97">
        <f t="shared" si="1"/>
        <v>0.30605147229306745</v>
      </c>
    </row>
    <row r="14" spans="1:5" ht="17.5" customHeight="1">
      <c r="A14" s="22">
        <v>1899</v>
      </c>
      <c r="B14" s="22">
        <v>88600</v>
      </c>
      <c r="C14" s="22">
        <v>143330</v>
      </c>
      <c r="D14" s="22">
        <f t="shared" si="0"/>
        <v>231930</v>
      </c>
      <c r="E14" s="97">
        <f t="shared" si="1"/>
        <v>0.38201181390936922</v>
      </c>
    </row>
  </sheetData>
  <pageMargins left="0.75" right="0.75" top="1" bottom="1" header="0.5" footer="0.5"/>
  <pageSetup orientation="portrait"/>
  <headerFooter>
    <oddFooter>&amp;C&amp;"Helvetica Neue,Regular"&amp;12&amp;K000000&amp;P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40"/>
  <sheetViews>
    <sheetView showGridLines="0" workbookViewId="0">
      <selection activeCell="C17" sqref="C17"/>
    </sheetView>
  </sheetViews>
  <sheetFormatPr baseColWidth="10" defaultColWidth="9.1640625" defaultRowHeight="16" customHeight="1"/>
  <cols>
    <col min="1" max="1" width="27.1640625" style="4" customWidth="1"/>
    <col min="2" max="3" width="29.6640625" style="4" customWidth="1"/>
    <col min="4" max="7" width="9.1640625" style="4" customWidth="1"/>
    <col min="8" max="16384" width="9.1640625" style="4"/>
  </cols>
  <sheetData>
    <row r="1" spans="1:6" ht="18" customHeight="1">
      <c r="A1" s="98" t="s">
        <v>1</v>
      </c>
      <c r="B1" s="6"/>
      <c r="C1" s="7"/>
      <c r="D1" s="6"/>
      <c r="E1" s="6"/>
      <c r="F1" s="6"/>
    </row>
    <row r="2" spans="1:6" ht="16" customHeight="1">
      <c r="A2" s="99" t="s">
        <v>2</v>
      </c>
      <c r="B2" s="100">
        <f ca="1">NOW()</f>
        <v>45236.766028472222</v>
      </c>
      <c r="C2" s="15"/>
      <c r="D2" s="6"/>
      <c r="E2" s="6"/>
      <c r="F2" s="6"/>
    </row>
    <row r="3" spans="1:6" ht="78.75" customHeight="1">
      <c r="A3" s="224" t="s">
        <v>426</v>
      </c>
      <c r="B3" s="225"/>
      <c r="C3" s="225"/>
      <c r="D3" s="6"/>
      <c r="E3" s="6"/>
      <c r="F3" s="6"/>
    </row>
    <row r="4" spans="1:6" ht="16" customHeight="1">
      <c r="A4" s="101"/>
      <c r="B4" s="6"/>
      <c r="C4" s="7"/>
      <c r="D4" s="6"/>
      <c r="E4" s="6"/>
      <c r="F4" s="6"/>
    </row>
    <row r="5" spans="1:6" ht="17" customHeight="1">
      <c r="A5" s="102" t="s">
        <v>4</v>
      </c>
      <c r="B5" s="8" t="s">
        <v>5</v>
      </c>
      <c r="C5" s="10" t="s">
        <v>6</v>
      </c>
      <c r="D5" s="6"/>
      <c r="E5" s="6"/>
      <c r="F5" s="6"/>
    </row>
    <row r="6" spans="1:6" ht="34" customHeight="1">
      <c r="A6" s="99" t="s">
        <v>427</v>
      </c>
      <c r="B6" s="8" t="s">
        <v>428</v>
      </c>
      <c r="C6" s="10" t="s">
        <v>429</v>
      </c>
      <c r="D6" s="6"/>
      <c r="E6" s="6"/>
      <c r="F6" s="6"/>
    </row>
    <row r="7" spans="1:6" ht="34" customHeight="1">
      <c r="A7" s="99" t="s">
        <v>430</v>
      </c>
      <c r="B7" s="8" t="s">
        <v>431</v>
      </c>
      <c r="C7" s="10" t="s">
        <v>432</v>
      </c>
      <c r="D7" s="6"/>
      <c r="E7" s="6"/>
      <c r="F7" s="6"/>
    </row>
    <row r="8" spans="1:6" ht="34" customHeight="1">
      <c r="A8" s="99" t="s">
        <v>433</v>
      </c>
      <c r="B8" s="8" t="s">
        <v>434</v>
      </c>
      <c r="C8" s="10" t="s">
        <v>435</v>
      </c>
      <c r="D8" s="6"/>
      <c r="E8" s="6"/>
      <c r="F8" s="6"/>
    </row>
    <row r="9" spans="1:6" ht="34" customHeight="1">
      <c r="A9" s="99" t="s">
        <v>436</v>
      </c>
      <c r="B9" s="8" t="s">
        <v>437</v>
      </c>
      <c r="C9" s="10" t="s">
        <v>438</v>
      </c>
      <c r="D9" s="6"/>
      <c r="E9" s="6"/>
      <c r="F9" s="6"/>
    </row>
    <row r="10" spans="1:6" ht="34" customHeight="1">
      <c r="A10" s="99" t="s">
        <v>439</v>
      </c>
      <c r="B10" s="8" t="s">
        <v>440</v>
      </c>
      <c r="C10" s="10" t="s">
        <v>441</v>
      </c>
      <c r="D10" s="6"/>
      <c r="E10" s="6"/>
      <c r="F10" s="6"/>
    </row>
    <row r="11" spans="1:6" ht="68" customHeight="1">
      <c r="A11" s="99" t="s">
        <v>442</v>
      </c>
      <c r="B11" s="8" t="s">
        <v>443</v>
      </c>
      <c r="C11" s="10" t="s">
        <v>444</v>
      </c>
      <c r="D11" s="6"/>
      <c r="E11" s="6"/>
      <c r="F11" s="6"/>
    </row>
    <row r="12" spans="1:6" ht="34" customHeight="1">
      <c r="A12" s="99" t="s">
        <v>445</v>
      </c>
      <c r="B12" s="8" t="s">
        <v>446</v>
      </c>
      <c r="C12" s="10" t="s">
        <v>447</v>
      </c>
      <c r="D12" s="6"/>
      <c r="E12" s="6"/>
      <c r="F12" s="6"/>
    </row>
    <row r="13" spans="1:6" ht="34" customHeight="1">
      <c r="A13" s="99" t="s">
        <v>448</v>
      </c>
      <c r="B13" s="8" t="s">
        <v>449</v>
      </c>
      <c r="C13" s="10" t="s">
        <v>450</v>
      </c>
      <c r="D13" s="6"/>
      <c r="E13" s="6"/>
      <c r="F13" s="6"/>
    </row>
    <row r="14" spans="1:6" ht="34" customHeight="1">
      <c r="A14" s="103" t="s">
        <v>451</v>
      </c>
      <c r="B14" s="104" t="s">
        <v>452</v>
      </c>
      <c r="C14" s="14" t="s">
        <v>453</v>
      </c>
      <c r="D14" s="6"/>
      <c r="E14" s="6"/>
      <c r="F14" s="6"/>
    </row>
    <row r="15" spans="1:6" ht="51" customHeight="1">
      <c r="A15" s="99" t="s">
        <v>454</v>
      </c>
      <c r="B15" s="10" t="s">
        <v>455</v>
      </c>
      <c r="C15" s="10" t="s">
        <v>456</v>
      </c>
      <c r="D15" s="6"/>
      <c r="E15" s="6"/>
      <c r="F15" s="6"/>
    </row>
    <row r="16" spans="1:6" ht="68" customHeight="1">
      <c r="A16" s="103" t="s">
        <v>457</v>
      </c>
      <c r="B16" s="104" t="s">
        <v>458</v>
      </c>
      <c r="C16" s="14" t="s">
        <v>623</v>
      </c>
      <c r="D16" s="6"/>
      <c r="E16" s="6"/>
      <c r="F16" s="6"/>
    </row>
    <row r="17" spans="1:6" ht="16" customHeight="1">
      <c r="A17" s="101"/>
      <c r="B17" s="6"/>
      <c r="C17" s="15"/>
      <c r="D17" s="6"/>
      <c r="E17" s="6"/>
      <c r="F17" s="6"/>
    </row>
    <row r="18" spans="1:6" ht="16" customHeight="1">
      <c r="A18" s="105" t="s">
        <v>459</v>
      </c>
      <c r="B18" s="6"/>
      <c r="C18" s="7"/>
      <c r="D18" s="6"/>
      <c r="E18" s="6"/>
      <c r="F18" s="6"/>
    </row>
    <row r="19" spans="1:6" ht="16" customHeight="1">
      <c r="A19" s="106"/>
      <c r="B19" s="6"/>
      <c r="C19" s="7"/>
      <c r="D19" s="6"/>
      <c r="E19" s="6"/>
      <c r="F19" s="6"/>
    </row>
    <row r="20" spans="1:6" ht="34.5" customHeight="1">
      <c r="A20" s="226"/>
      <c r="B20" s="226"/>
      <c r="C20" s="226"/>
      <c r="D20" s="226"/>
      <c r="E20" s="226"/>
      <c r="F20" s="226"/>
    </row>
    <row r="21" spans="1:6" ht="37.5" customHeight="1">
      <c r="A21" s="226"/>
      <c r="B21" s="226"/>
      <c r="C21" s="226"/>
      <c r="D21" s="226"/>
      <c r="E21" s="226"/>
      <c r="F21" s="226"/>
    </row>
    <row r="22" spans="1:6" ht="33.75" customHeight="1">
      <c r="A22" s="226"/>
      <c r="B22" s="226"/>
      <c r="C22" s="226"/>
      <c r="D22" s="226"/>
      <c r="E22" s="226"/>
      <c r="F22" s="226"/>
    </row>
    <row r="23" spans="1:6" ht="32.25" customHeight="1">
      <c r="A23" s="226"/>
      <c r="B23" s="226"/>
      <c r="C23" s="226"/>
      <c r="D23" s="226"/>
      <c r="E23" s="226"/>
      <c r="F23" s="226"/>
    </row>
    <row r="24" spans="1:6" ht="41.25" customHeight="1">
      <c r="A24" s="223"/>
      <c r="B24" s="223"/>
      <c r="C24" s="223"/>
      <c r="D24" s="223"/>
      <c r="E24" s="223"/>
      <c r="F24" s="223"/>
    </row>
    <row r="25" spans="1:6" ht="34.5" customHeight="1">
      <c r="A25" s="223"/>
      <c r="B25" s="223"/>
      <c r="C25" s="223"/>
      <c r="D25" s="223"/>
      <c r="E25" s="223"/>
      <c r="F25" s="223"/>
    </row>
    <row r="26" spans="1:6" ht="40.5" customHeight="1">
      <c r="A26" s="223"/>
      <c r="B26" s="223"/>
      <c r="C26" s="223"/>
      <c r="D26" s="223"/>
      <c r="E26" s="223"/>
      <c r="F26" s="223"/>
    </row>
    <row r="27" spans="1:6" ht="40.5" customHeight="1">
      <c r="A27" s="223"/>
      <c r="B27" s="223"/>
      <c r="C27" s="223"/>
      <c r="D27" s="223"/>
      <c r="E27" s="223"/>
      <c r="F27" s="223"/>
    </row>
    <row r="28" spans="1:6" ht="40.5" customHeight="1">
      <c r="A28" s="223"/>
      <c r="B28" s="223"/>
      <c r="C28" s="223"/>
      <c r="D28" s="223"/>
      <c r="E28" s="223"/>
      <c r="F28" s="223"/>
    </row>
    <row r="29" spans="1:6" ht="51" customHeight="1">
      <c r="A29" s="223"/>
      <c r="B29" s="223"/>
      <c r="C29" s="223"/>
      <c r="D29" s="223"/>
      <c r="E29" s="223"/>
      <c r="F29" s="223"/>
    </row>
    <row r="30" spans="1:6" ht="47.25" customHeight="1">
      <c r="A30" s="223"/>
      <c r="B30" s="223"/>
      <c r="C30" s="223"/>
      <c r="D30" s="223"/>
      <c r="E30" s="223"/>
      <c r="F30" s="223"/>
    </row>
    <row r="31" spans="1:6" ht="47.25" customHeight="1">
      <c r="A31" s="223"/>
      <c r="B31" s="223"/>
      <c r="C31" s="223"/>
      <c r="D31" s="223"/>
      <c r="E31" s="223"/>
      <c r="F31" s="223"/>
    </row>
    <row r="32" spans="1:6" ht="44.25" customHeight="1">
      <c r="A32" s="223"/>
      <c r="B32" s="223"/>
      <c r="C32" s="223"/>
      <c r="D32" s="223"/>
      <c r="E32" s="223"/>
      <c r="F32" s="223"/>
    </row>
    <row r="33" spans="1:6" ht="39" customHeight="1">
      <c r="A33" s="223"/>
      <c r="B33" s="223"/>
      <c r="C33" s="223"/>
      <c r="D33" s="223"/>
      <c r="E33" s="223"/>
      <c r="F33" s="223"/>
    </row>
    <row r="34" spans="1:6" ht="16" customHeight="1">
      <c r="A34" s="101"/>
      <c r="B34" s="6"/>
      <c r="C34" s="7"/>
      <c r="D34" s="6"/>
      <c r="E34" s="6"/>
      <c r="F34" s="6"/>
    </row>
    <row r="35" spans="1:6" ht="16" customHeight="1">
      <c r="A35" s="101"/>
      <c r="B35" s="6"/>
      <c r="C35" s="7"/>
      <c r="D35" s="6"/>
      <c r="E35" s="6"/>
      <c r="F35" s="6"/>
    </row>
    <row r="36" spans="1:6" ht="16" customHeight="1">
      <c r="A36" s="101"/>
      <c r="B36" s="6"/>
      <c r="C36" s="7"/>
      <c r="D36" s="6"/>
      <c r="E36" s="6"/>
      <c r="F36" s="6"/>
    </row>
    <row r="37" spans="1:6" ht="16" customHeight="1">
      <c r="A37" s="107"/>
      <c r="B37" s="6"/>
      <c r="C37" s="15"/>
      <c r="D37" s="6"/>
      <c r="E37" s="6"/>
      <c r="F37" s="6"/>
    </row>
    <row r="38" spans="1:6" ht="16" customHeight="1">
      <c r="A38" s="107"/>
      <c r="B38" s="6"/>
      <c r="C38" s="15"/>
      <c r="D38" s="6"/>
      <c r="E38" s="6"/>
      <c r="F38" s="6"/>
    </row>
    <row r="39" spans="1:6" ht="16" customHeight="1">
      <c r="A39" s="107"/>
      <c r="B39" s="6"/>
      <c r="C39" s="15"/>
      <c r="D39" s="6"/>
      <c r="E39" s="6"/>
      <c r="F39" s="6"/>
    </row>
    <row r="40" spans="1:6" ht="16" customHeight="1">
      <c r="A40" s="107"/>
      <c r="B40" s="6"/>
      <c r="C40" s="26" t="s">
        <v>460</v>
      </c>
      <c r="D40" s="6"/>
      <c r="E40" s="6"/>
      <c r="F40" s="6"/>
    </row>
  </sheetData>
  <mergeCells count="15">
    <mergeCell ref="A31:F31"/>
    <mergeCell ref="A32:F32"/>
    <mergeCell ref="A33:F33"/>
    <mergeCell ref="A25:F25"/>
    <mergeCell ref="A26:F26"/>
    <mergeCell ref="A27:F27"/>
    <mergeCell ref="A28:F28"/>
    <mergeCell ref="A29:F29"/>
    <mergeCell ref="A30:F30"/>
    <mergeCell ref="A24:F24"/>
    <mergeCell ref="A3:C3"/>
    <mergeCell ref="A20:F20"/>
    <mergeCell ref="A21:F21"/>
    <mergeCell ref="A22:F22"/>
    <mergeCell ref="A23:F23"/>
  </mergeCells>
  <pageMargins left="0.75" right="0.75" top="1" bottom="1" header="0.5" footer="0.5"/>
  <pageSetup orientation="portrait"/>
  <headerFooter>
    <oddFooter>&amp;C&amp;"Helvetica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80"/>
  <sheetViews>
    <sheetView showGridLines="0" topLeftCell="A5" workbookViewId="0">
      <pane ySplit="3840" topLeftCell="A70"/>
      <selection activeCell="D7" sqref="D7"/>
      <selection pane="bottomLeft" activeCell="J97" sqref="J97"/>
    </sheetView>
  </sheetViews>
  <sheetFormatPr baseColWidth="10" defaultColWidth="9.1640625" defaultRowHeight="16" customHeight="1"/>
  <cols>
    <col min="1" max="1" width="9.1640625" style="4" customWidth="1"/>
    <col min="2" max="3" width="13.1640625" style="4" customWidth="1"/>
    <col min="4" max="4" width="11.5" style="4" customWidth="1"/>
    <col min="5" max="7" width="9.1640625" style="4" customWidth="1"/>
    <col min="8" max="8" width="19" style="4" customWidth="1"/>
    <col min="9" max="10" width="9.1640625" style="4" customWidth="1"/>
    <col min="11" max="16384" width="9.1640625" style="4"/>
  </cols>
  <sheetData>
    <row r="1" spans="1:9" ht="17.5" customHeight="1">
      <c r="A1" s="8" t="s">
        <v>84</v>
      </c>
      <c r="B1" s="17"/>
      <c r="C1" s="6"/>
      <c r="D1" s="6"/>
      <c r="E1" s="6"/>
      <c r="F1" s="6"/>
      <c r="G1" s="6"/>
      <c r="H1" s="6"/>
      <c r="I1" s="6"/>
    </row>
    <row r="2" spans="1:9" ht="17.5" customHeight="1">
      <c r="A2" s="8" t="s">
        <v>85</v>
      </c>
      <c r="B2" s="18"/>
      <c r="C2" s="6"/>
      <c r="D2" s="6"/>
      <c r="E2" s="6"/>
      <c r="F2" s="6"/>
      <c r="G2" s="6"/>
      <c r="H2" s="6"/>
      <c r="I2" s="6"/>
    </row>
    <row r="3" spans="1:9" ht="17.5" customHeight="1">
      <c r="A3" s="19" t="s">
        <v>86</v>
      </c>
      <c r="B3" s="20"/>
      <c r="C3" s="6"/>
      <c r="D3" s="6"/>
      <c r="E3" s="6"/>
      <c r="F3" s="6"/>
      <c r="G3" s="6"/>
      <c r="H3" s="6"/>
      <c r="I3" s="6"/>
    </row>
    <row r="4" spans="1:9" ht="17.5" customHeight="1">
      <c r="A4" s="8" t="s">
        <v>87</v>
      </c>
      <c r="B4" s="20"/>
      <c r="C4" s="6"/>
      <c r="D4" s="6"/>
      <c r="E4" s="6"/>
      <c r="F4" s="6"/>
      <c r="G4" s="6"/>
      <c r="H4" s="6"/>
      <c r="I4" s="6"/>
    </row>
    <row r="5" spans="1:9" ht="17.5" customHeight="1">
      <c r="A5" s="6"/>
      <c r="B5" s="20"/>
      <c r="C5" s="6"/>
      <c r="D5" s="6"/>
      <c r="E5" s="6"/>
      <c r="F5" s="6"/>
      <c r="G5" s="6"/>
      <c r="H5" s="6"/>
      <c r="I5" s="6"/>
    </row>
    <row r="6" spans="1:9" ht="68" customHeight="1">
      <c r="A6" s="6"/>
      <c r="B6" s="21" t="s">
        <v>592</v>
      </c>
      <c r="C6" s="21" t="s">
        <v>88</v>
      </c>
      <c r="D6" s="21" t="s">
        <v>89</v>
      </c>
      <c r="E6" s="6"/>
      <c r="F6" s="6"/>
      <c r="G6" s="6"/>
      <c r="H6" s="6"/>
      <c r="I6" s="6"/>
    </row>
    <row r="7" spans="1:9" ht="17.5" customHeight="1">
      <c r="A7" s="22">
        <v>1929</v>
      </c>
      <c r="B7" s="183">
        <v>1191.0999999999999</v>
      </c>
      <c r="C7" s="193">
        <v>104.556</v>
      </c>
      <c r="D7" s="182">
        <v>8.7520000000000007</v>
      </c>
      <c r="E7" s="6"/>
      <c r="F7" s="6"/>
      <c r="G7" s="6"/>
      <c r="H7" s="6"/>
      <c r="I7" s="6"/>
    </row>
    <row r="8" spans="1:9" ht="17.5" customHeight="1">
      <c r="A8" s="22">
        <v>1930</v>
      </c>
      <c r="B8" s="184">
        <v>1089.8</v>
      </c>
      <c r="C8" s="193">
        <v>92.16</v>
      </c>
      <c r="D8">
        <v>8.4149999999999991</v>
      </c>
      <c r="E8" s="6"/>
      <c r="F8" s="6"/>
      <c r="G8" s="6"/>
      <c r="H8" s="6"/>
      <c r="I8" s="6"/>
    </row>
    <row r="9" spans="1:9" ht="17.5" customHeight="1">
      <c r="A9" s="22">
        <v>1931</v>
      </c>
      <c r="B9" s="184">
        <v>1020</v>
      </c>
      <c r="C9" s="193">
        <v>77.391000000000005</v>
      </c>
      <c r="D9">
        <v>7.5830000000000002</v>
      </c>
      <c r="E9" s="6"/>
      <c r="F9" s="6"/>
      <c r="G9" s="6"/>
      <c r="H9" s="6"/>
      <c r="I9" s="6"/>
    </row>
    <row r="10" spans="1:9" ht="17.5" customHeight="1">
      <c r="A10" s="22">
        <v>1932</v>
      </c>
      <c r="B10" s="184">
        <v>888.4</v>
      </c>
      <c r="C10" s="193">
        <v>59.521999999999998</v>
      </c>
      <c r="D10">
        <v>6.7190000000000003</v>
      </c>
      <c r="E10" s="6"/>
      <c r="F10" s="6"/>
      <c r="G10" s="6"/>
      <c r="H10" s="6"/>
      <c r="I10" s="6"/>
    </row>
    <row r="11" spans="1:9" ht="17.5" customHeight="1">
      <c r="A11" s="22">
        <v>1933</v>
      </c>
      <c r="B11" s="184">
        <v>877.4</v>
      </c>
      <c r="C11" s="193">
        <v>57.154000000000003</v>
      </c>
      <c r="D11">
        <v>6.5369999999999999</v>
      </c>
      <c r="E11" s="6"/>
      <c r="F11" s="6"/>
      <c r="G11" s="6"/>
      <c r="H11" s="6"/>
      <c r="I11" s="6"/>
    </row>
    <row r="12" spans="1:9" ht="17.5" customHeight="1">
      <c r="A12" s="22">
        <v>1934</v>
      </c>
      <c r="B12" s="184">
        <v>972.3</v>
      </c>
      <c r="C12" s="193">
        <v>66.8</v>
      </c>
      <c r="D12">
        <v>6.8550000000000004</v>
      </c>
      <c r="E12" s="6"/>
      <c r="F12" s="6"/>
      <c r="G12" s="6"/>
      <c r="H12" s="6"/>
      <c r="I12" s="6"/>
    </row>
    <row r="13" spans="1:9" ht="17.5" customHeight="1">
      <c r="A13" s="22">
        <v>1935</v>
      </c>
      <c r="B13" s="184">
        <v>1058.8</v>
      </c>
      <c r="C13" s="193">
        <v>74.241</v>
      </c>
      <c r="D13">
        <v>6.9930000000000003</v>
      </c>
      <c r="E13" s="6"/>
      <c r="F13" s="6"/>
      <c r="G13" s="6"/>
      <c r="H13" s="6"/>
      <c r="I13" s="6"/>
    </row>
    <row r="14" spans="1:9" ht="17.5" customHeight="1">
      <c r="A14" s="22">
        <v>1936</v>
      </c>
      <c r="B14" s="184">
        <v>1195.3</v>
      </c>
      <c r="C14" s="193">
        <v>84.83</v>
      </c>
      <c r="D14">
        <v>7.08</v>
      </c>
      <c r="E14" s="6"/>
      <c r="F14" s="6"/>
      <c r="G14" s="6"/>
      <c r="H14" s="6"/>
      <c r="I14" s="6"/>
    </row>
    <row r="15" spans="1:9" ht="17.5" customHeight="1">
      <c r="A15" s="22">
        <v>1937</v>
      </c>
      <c r="B15" s="184">
        <v>1256.5</v>
      </c>
      <c r="C15" s="193">
        <v>93.003</v>
      </c>
      <c r="D15">
        <v>7.3390000000000004</v>
      </c>
      <c r="E15" s="6"/>
      <c r="F15" s="6"/>
      <c r="G15" s="6"/>
      <c r="H15" s="6"/>
      <c r="I15" s="6"/>
    </row>
    <row r="16" spans="1:9" ht="17.5" customHeight="1">
      <c r="A16" s="22">
        <v>1938</v>
      </c>
      <c r="B16" s="184">
        <v>1214.9000000000001</v>
      </c>
      <c r="C16" s="193">
        <v>87.352000000000004</v>
      </c>
      <c r="D16">
        <v>7.2030000000000003</v>
      </c>
      <c r="E16" s="6"/>
      <c r="F16" s="6"/>
      <c r="G16" s="6"/>
      <c r="H16" s="6"/>
      <c r="I16" s="6"/>
    </row>
    <row r="17" spans="1:9" ht="17.5" customHeight="1">
      <c r="A17" s="22">
        <v>1939</v>
      </c>
      <c r="B17" s="184">
        <v>1312.4</v>
      </c>
      <c r="C17" s="193">
        <v>93.436999999999998</v>
      </c>
      <c r="D17">
        <v>7.1130000000000004</v>
      </c>
      <c r="E17" s="6"/>
      <c r="F17" s="6"/>
      <c r="G17" s="6"/>
      <c r="H17" s="6"/>
      <c r="I17" s="6"/>
    </row>
    <row r="18" spans="1:9" ht="17.5" customHeight="1">
      <c r="A18" s="22">
        <v>1940</v>
      </c>
      <c r="B18" s="184">
        <v>1428.1</v>
      </c>
      <c r="C18" s="193">
        <v>102.899</v>
      </c>
      <c r="D18">
        <v>7.1769999999999996</v>
      </c>
      <c r="E18" s="6"/>
      <c r="F18" s="6"/>
      <c r="G18" s="6"/>
      <c r="H18" s="6"/>
      <c r="I18" s="6"/>
    </row>
    <row r="19" spans="1:9" ht="17.5" customHeight="1">
      <c r="A19" s="22">
        <v>1941</v>
      </c>
      <c r="B19" s="184">
        <v>1681</v>
      </c>
      <c r="C19" s="193">
        <v>129.309</v>
      </c>
      <c r="D19">
        <v>7.6479999999999997</v>
      </c>
      <c r="E19" s="6"/>
      <c r="F19" s="6"/>
      <c r="G19" s="6"/>
      <c r="H19" s="6"/>
      <c r="I19" s="6"/>
    </row>
    <row r="20" spans="1:9" ht="17.5" customHeight="1">
      <c r="A20" s="22">
        <v>1942</v>
      </c>
      <c r="B20" s="184">
        <v>1998.5</v>
      </c>
      <c r="C20" s="193">
        <v>165.952</v>
      </c>
      <c r="D20">
        <v>8.2850000000000001</v>
      </c>
      <c r="E20" s="6"/>
      <c r="F20" s="6"/>
      <c r="G20" s="6"/>
      <c r="H20" s="6"/>
      <c r="I20" s="6"/>
    </row>
    <row r="21" spans="1:9" ht="17.5" customHeight="1">
      <c r="A21" s="22">
        <v>1943</v>
      </c>
      <c r="B21" s="184">
        <v>2338.8000000000002</v>
      </c>
      <c r="C21" s="193">
        <v>203.084</v>
      </c>
      <c r="D21">
        <v>8.68</v>
      </c>
      <c r="E21" s="6"/>
      <c r="F21" s="6"/>
      <c r="G21" s="6"/>
      <c r="H21" s="6"/>
      <c r="I21" s="6"/>
    </row>
    <row r="22" spans="1:9" ht="17.5" customHeight="1">
      <c r="A22" s="22">
        <v>1944</v>
      </c>
      <c r="B22" s="184">
        <v>2524.8000000000002</v>
      </c>
      <c r="C22" s="193">
        <v>224.447</v>
      </c>
      <c r="D22">
        <v>8.8879999999999999</v>
      </c>
      <c r="E22" s="6"/>
      <c r="F22" s="6"/>
      <c r="G22" s="6"/>
      <c r="H22" s="6"/>
      <c r="I22" s="6"/>
    </row>
    <row r="23" spans="1:9" ht="17.5" customHeight="1">
      <c r="A23" s="22">
        <v>1945</v>
      </c>
      <c r="B23" s="184">
        <v>2500.1</v>
      </c>
      <c r="C23" s="193">
        <v>228.00700000000001</v>
      </c>
      <c r="D23">
        <v>9.11</v>
      </c>
      <c r="E23" s="6"/>
      <c r="F23" s="6"/>
      <c r="G23" s="6"/>
      <c r="H23" s="6"/>
      <c r="I23" s="6"/>
    </row>
    <row r="24" spans="1:9" ht="17.5" customHeight="1">
      <c r="A24" s="22">
        <v>1946</v>
      </c>
      <c r="B24" s="184">
        <v>2209.9</v>
      </c>
      <c r="C24" s="193">
        <v>227.535</v>
      </c>
      <c r="D24">
        <v>10.257</v>
      </c>
      <c r="E24" s="6"/>
      <c r="F24" s="6"/>
      <c r="G24" s="6"/>
      <c r="H24" s="6"/>
      <c r="I24" s="6"/>
    </row>
    <row r="25" spans="1:9" ht="17.5" customHeight="1">
      <c r="A25" s="22">
        <v>1947</v>
      </c>
      <c r="B25" s="184">
        <v>2184.6</v>
      </c>
      <c r="C25" s="193">
        <v>249.61600000000001</v>
      </c>
      <c r="D25">
        <v>11.41</v>
      </c>
      <c r="E25" s="6"/>
      <c r="F25" s="6"/>
      <c r="G25" s="6"/>
      <c r="H25" s="6"/>
      <c r="I25" s="6"/>
    </row>
    <row r="26" spans="1:9" ht="17.5" customHeight="1">
      <c r="A26" s="22">
        <v>1948</v>
      </c>
      <c r="B26" s="184">
        <v>2274.6</v>
      </c>
      <c r="C26" s="193">
        <v>274.46800000000002</v>
      </c>
      <c r="D26">
        <v>12.057</v>
      </c>
      <c r="E26" s="6"/>
      <c r="F26" s="6"/>
      <c r="G26" s="6"/>
      <c r="H26" s="6"/>
      <c r="I26" s="6"/>
    </row>
    <row r="27" spans="1:9" ht="17.5" customHeight="1">
      <c r="A27" s="22">
        <v>1949</v>
      </c>
      <c r="B27" s="184">
        <v>2261.9</v>
      </c>
      <c r="C27" s="193">
        <v>272.47500000000002</v>
      </c>
      <c r="D27">
        <v>12.052</v>
      </c>
      <c r="E27" s="6"/>
      <c r="F27" s="6"/>
      <c r="G27" s="6"/>
      <c r="H27" s="6"/>
      <c r="I27" s="6"/>
    </row>
    <row r="28" spans="1:9" ht="17.5" customHeight="1">
      <c r="A28" s="22">
        <v>1950</v>
      </c>
      <c r="B28" s="184">
        <v>2458.5</v>
      </c>
      <c r="C28" s="193">
        <v>299.827</v>
      </c>
      <c r="D28">
        <v>12.166</v>
      </c>
      <c r="E28" s="6"/>
      <c r="F28" s="6"/>
      <c r="G28" s="6"/>
      <c r="H28" s="6"/>
      <c r="I28" s="6"/>
    </row>
    <row r="29" spans="1:9" ht="17.5" customHeight="1">
      <c r="A29" s="22">
        <v>1951</v>
      </c>
      <c r="B29" s="184">
        <v>2656.3</v>
      </c>
      <c r="C29" s="193">
        <v>346.91399999999999</v>
      </c>
      <c r="D29">
        <v>12.991</v>
      </c>
      <c r="E29" s="6"/>
      <c r="F29" s="6"/>
      <c r="G29" s="6"/>
      <c r="H29" s="6"/>
      <c r="I29" s="6"/>
    </row>
    <row r="30" spans="1:9" ht="17.5" customHeight="1">
      <c r="A30" s="22">
        <v>1952</v>
      </c>
      <c r="B30" s="184">
        <v>2764.8</v>
      </c>
      <c r="C30" s="193">
        <v>367.34100000000001</v>
      </c>
      <c r="D30">
        <v>13.273999999999999</v>
      </c>
      <c r="E30" s="6"/>
      <c r="F30" s="6"/>
      <c r="G30" s="6"/>
      <c r="H30" s="6"/>
      <c r="I30" s="6"/>
    </row>
    <row r="31" spans="1:9" ht="17.5" customHeight="1">
      <c r="A31" s="22">
        <v>1953</v>
      </c>
      <c r="B31" s="184">
        <v>2894.4</v>
      </c>
      <c r="C31" s="193">
        <v>389.21800000000002</v>
      </c>
      <c r="D31">
        <v>13.444000000000001</v>
      </c>
      <c r="E31" s="6"/>
      <c r="F31" s="6"/>
      <c r="G31" s="6"/>
      <c r="H31" s="6"/>
      <c r="I31" s="6"/>
    </row>
    <row r="32" spans="1:9" ht="17.5" customHeight="1">
      <c r="A32" s="22">
        <v>1954</v>
      </c>
      <c r="B32" s="184">
        <v>2877.7</v>
      </c>
      <c r="C32" s="193">
        <v>390.54899999999998</v>
      </c>
      <c r="D32">
        <v>13.581</v>
      </c>
      <c r="E32" s="6"/>
      <c r="F32" s="6"/>
      <c r="G32" s="6"/>
      <c r="H32" s="6"/>
      <c r="I32" s="6"/>
    </row>
    <row r="33" spans="1:9" ht="17.5" customHeight="1">
      <c r="A33" s="22">
        <v>1955</v>
      </c>
      <c r="B33" s="184">
        <v>3083</v>
      </c>
      <c r="C33" s="193">
        <v>425.47800000000001</v>
      </c>
      <c r="D33">
        <v>13.773</v>
      </c>
      <c r="E33" s="6"/>
      <c r="F33" s="6"/>
      <c r="G33" s="6"/>
      <c r="H33" s="6"/>
      <c r="I33" s="6"/>
    </row>
    <row r="34" spans="1:9" ht="17.5" customHeight="1">
      <c r="A34" s="22">
        <v>1956</v>
      </c>
      <c r="B34" s="184">
        <v>3148.8</v>
      </c>
      <c r="C34" s="193">
        <v>449.35300000000001</v>
      </c>
      <c r="D34">
        <v>14.244</v>
      </c>
      <c r="E34" s="6"/>
      <c r="F34" s="6"/>
      <c r="G34" s="6"/>
      <c r="H34" s="6"/>
      <c r="I34" s="6"/>
    </row>
    <row r="35" spans="1:9" ht="17.5" customHeight="1">
      <c r="A35" s="22">
        <v>1957</v>
      </c>
      <c r="B35" s="184">
        <v>3215.1</v>
      </c>
      <c r="C35" s="193">
        <v>474.03899999999999</v>
      </c>
      <c r="D35">
        <v>14.742000000000001</v>
      </c>
      <c r="E35" s="6"/>
      <c r="F35" s="6"/>
      <c r="G35" s="6"/>
      <c r="H35" s="6"/>
      <c r="I35" s="6"/>
    </row>
    <row r="36" spans="1:9" ht="17.5" customHeight="1">
      <c r="A36" s="22">
        <v>1958</v>
      </c>
      <c r="B36" s="184">
        <v>3191.2</v>
      </c>
      <c r="C36" s="193">
        <v>481.22899999999998</v>
      </c>
      <c r="D36">
        <v>15.086</v>
      </c>
      <c r="E36" s="6"/>
      <c r="F36" s="6"/>
      <c r="G36" s="6"/>
      <c r="H36" s="6"/>
      <c r="I36" s="6"/>
    </row>
    <row r="37" spans="1:9" ht="17.5" customHeight="1">
      <c r="A37" s="22">
        <v>1959</v>
      </c>
      <c r="B37" s="184">
        <v>3412.4</v>
      </c>
      <c r="C37" s="193">
        <v>521.654</v>
      </c>
      <c r="D37">
        <v>15.285</v>
      </c>
      <c r="E37" s="6"/>
      <c r="F37" s="6"/>
      <c r="G37" s="6"/>
      <c r="H37" s="6"/>
      <c r="I37" s="6"/>
    </row>
    <row r="38" spans="1:9" ht="17.5" customHeight="1">
      <c r="A38" s="22">
        <v>1960</v>
      </c>
      <c r="B38" s="184">
        <v>3500.3</v>
      </c>
      <c r="C38" s="193">
        <v>542.38199999999995</v>
      </c>
      <c r="D38">
        <v>15.494</v>
      </c>
      <c r="E38" s="6"/>
      <c r="F38" s="6"/>
      <c r="G38" s="6"/>
      <c r="H38" s="6"/>
      <c r="I38" s="6"/>
    </row>
    <row r="39" spans="1:9" ht="17.5" customHeight="1">
      <c r="A39" s="22">
        <v>1961</v>
      </c>
      <c r="B39" s="184">
        <v>3590.1</v>
      </c>
      <c r="C39" s="193">
        <v>562.20899999999995</v>
      </c>
      <c r="D39">
        <v>15.659000000000001</v>
      </c>
      <c r="E39" s="6"/>
      <c r="F39" s="6"/>
      <c r="G39" s="6"/>
      <c r="H39" s="6"/>
      <c r="I39" s="6"/>
    </row>
    <row r="40" spans="1:9" ht="17.5" customHeight="1">
      <c r="A40" s="22">
        <v>1962</v>
      </c>
      <c r="B40" s="184">
        <v>3810.1</v>
      </c>
      <c r="C40" s="193">
        <v>603.92200000000003</v>
      </c>
      <c r="D40">
        <v>15.849</v>
      </c>
      <c r="E40" s="6"/>
      <c r="F40" s="6"/>
      <c r="G40" s="6"/>
      <c r="H40" s="6"/>
      <c r="I40" s="6"/>
    </row>
    <row r="41" spans="1:9" ht="17.5" customHeight="1">
      <c r="A41" s="22">
        <v>1963</v>
      </c>
      <c r="B41" s="184">
        <v>3976.1</v>
      </c>
      <c r="C41" s="193">
        <v>637.45000000000005</v>
      </c>
      <c r="D41">
        <v>16.03</v>
      </c>
      <c r="E41" s="6"/>
      <c r="F41" s="6"/>
      <c r="G41" s="6"/>
      <c r="H41" s="6"/>
      <c r="I41" s="6"/>
    </row>
    <row r="42" spans="1:9" ht="17.5" customHeight="1">
      <c r="A42" s="22">
        <v>1964</v>
      </c>
      <c r="B42" s="184">
        <v>4205.3</v>
      </c>
      <c r="C42" s="193">
        <v>684.46</v>
      </c>
      <c r="D42">
        <v>16.274999999999999</v>
      </c>
      <c r="E42" s="6"/>
      <c r="F42" s="6"/>
      <c r="G42" s="6"/>
      <c r="H42" s="6"/>
      <c r="I42" s="6"/>
    </row>
    <row r="43" spans="1:9" ht="17.5" customHeight="1">
      <c r="A43" s="22">
        <v>1965</v>
      </c>
      <c r="B43" s="184">
        <v>4478.6000000000004</v>
      </c>
      <c r="C43" s="193">
        <v>742.28899999999999</v>
      </c>
      <c r="D43">
        <v>16.571999999999999</v>
      </c>
      <c r="E43" s="6"/>
      <c r="F43" s="6"/>
      <c r="G43" s="6"/>
      <c r="H43" s="6"/>
      <c r="I43" s="6"/>
    </row>
    <row r="44" spans="1:9" ht="17.5" customHeight="1">
      <c r="A44" s="22">
        <v>1966</v>
      </c>
      <c r="B44" s="184">
        <v>4773.8999999999996</v>
      </c>
      <c r="C44" s="193">
        <v>813.41399999999999</v>
      </c>
      <c r="D44">
        <v>17.036999999999999</v>
      </c>
      <c r="E44" s="6"/>
      <c r="F44" s="6"/>
      <c r="G44" s="6"/>
      <c r="H44" s="6"/>
      <c r="I44" s="6"/>
    </row>
    <row r="45" spans="1:9" ht="17.5" customHeight="1">
      <c r="A45" s="22">
        <v>1967</v>
      </c>
      <c r="B45" s="184">
        <v>4904.8999999999996</v>
      </c>
      <c r="C45" s="193">
        <v>859.95899999999995</v>
      </c>
      <c r="D45">
        <v>17.530999999999999</v>
      </c>
      <c r="E45" s="6"/>
      <c r="F45" s="6"/>
      <c r="G45" s="6"/>
      <c r="H45" s="6"/>
      <c r="I45" s="6"/>
    </row>
    <row r="46" spans="1:9" ht="17.5" customHeight="1">
      <c r="A46" s="22">
        <v>1968</v>
      </c>
      <c r="B46" s="184">
        <v>5145.8999999999996</v>
      </c>
      <c r="C46" s="193">
        <v>940.65099999999995</v>
      </c>
      <c r="D46">
        <v>18.277000000000001</v>
      </c>
      <c r="E46" s="6"/>
      <c r="F46" s="6"/>
      <c r="G46" s="6"/>
      <c r="H46" s="6"/>
      <c r="I46" s="6"/>
    </row>
    <row r="47" spans="1:9" ht="17.5" customHeight="1">
      <c r="A47" s="22">
        <v>1969</v>
      </c>
      <c r="B47" s="184">
        <v>5306.6</v>
      </c>
      <c r="C47" s="193">
        <v>1017.615</v>
      </c>
      <c r="D47">
        <v>19.175000000000001</v>
      </c>
      <c r="E47" s="6"/>
      <c r="F47" s="6"/>
      <c r="G47" s="6"/>
      <c r="H47" s="6"/>
      <c r="I47" s="6"/>
    </row>
    <row r="48" spans="1:9" ht="17.5" customHeight="1">
      <c r="A48" s="22">
        <v>1970</v>
      </c>
      <c r="B48" s="184">
        <v>5316.4</v>
      </c>
      <c r="C48" s="193">
        <v>1073.3030000000001</v>
      </c>
      <c r="D48">
        <v>20.186</v>
      </c>
      <c r="E48" s="6"/>
      <c r="F48" s="6"/>
      <c r="G48" s="6"/>
      <c r="H48" s="6"/>
      <c r="I48" s="6"/>
    </row>
    <row r="49" spans="1:9" ht="17.5" customHeight="1">
      <c r="A49" s="22">
        <v>1971</v>
      </c>
      <c r="B49" s="184">
        <v>5491.4</v>
      </c>
      <c r="C49" s="193">
        <v>1164.8499999999999</v>
      </c>
      <c r="D49">
        <v>21.210999999999999</v>
      </c>
      <c r="E49" s="6"/>
      <c r="F49" s="6"/>
      <c r="G49" s="6"/>
      <c r="H49" s="6"/>
      <c r="I49" s="6"/>
    </row>
    <row r="50" spans="1:9" ht="17.5" customHeight="1">
      <c r="A50" s="22">
        <v>1972</v>
      </c>
      <c r="B50" s="184">
        <v>5780</v>
      </c>
      <c r="C50" s="193">
        <v>1279.1099999999999</v>
      </c>
      <c r="D50">
        <v>22.128</v>
      </c>
      <c r="E50" s="6"/>
      <c r="F50" s="6"/>
      <c r="G50" s="6"/>
      <c r="H50" s="6"/>
      <c r="I50" s="6"/>
    </row>
    <row r="51" spans="1:9" ht="17.5" customHeight="1">
      <c r="A51" s="22">
        <v>1973</v>
      </c>
      <c r="B51" s="184">
        <v>6106.4</v>
      </c>
      <c r="C51" s="193">
        <v>1425.376</v>
      </c>
      <c r="D51">
        <v>23.34</v>
      </c>
      <c r="E51" s="6"/>
      <c r="F51" s="6"/>
      <c r="G51" s="6"/>
      <c r="H51" s="6"/>
      <c r="I51" s="6"/>
    </row>
    <row r="52" spans="1:9" ht="17.5" customHeight="1">
      <c r="A52" s="22">
        <v>1974</v>
      </c>
      <c r="B52" s="184">
        <v>6073.4</v>
      </c>
      <c r="C52" s="193">
        <v>1545.2429999999999</v>
      </c>
      <c r="D52">
        <v>25.434000000000001</v>
      </c>
      <c r="E52" s="6"/>
      <c r="F52" s="6"/>
      <c r="G52" s="6"/>
      <c r="H52" s="6"/>
      <c r="I52" s="6"/>
    </row>
    <row r="53" spans="1:9" ht="17.5" customHeight="1">
      <c r="A53" s="22">
        <v>1975</v>
      </c>
      <c r="B53" s="184">
        <v>6060.9</v>
      </c>
      <c r="C53" s="193">
        <v>1684.904</v>
      </c>
      <c r="D53">
        <v>27.795999999999999</v>
      </c>
      <c r="E53" s="6"/>
      <c r="F53" s="6"/>
      <c r="G53" s="6"/>
      <c r="H53" s="6"/>
      <c r="I53" s="6"/>
    </row>
    <row r="54" spans="1:9" ht="17.5" customHeight="1">
      <c r="A54" s="22">
        <v>1976</v>
      </c>
      <c r="B54" s="184">
        <v>6387.4</v>
      </c>
      <c r="C54" s="193">
        <v>1873.412</v>
      </c>
      <c r="D54">
        <v>29.327000000000002</v>
      </c>
      <c r="E54" s="6"/>
      <c r="F54" s="6"/>
      <c r="G54" s="6"/>
      <c r="H54" s="6"/>
      <c r="I54" s="6"/>
    </row>
    <row r="55" spans="1:9" ht="17.5" customHeight="1">
      <c r="A55" s="22">
        <v>1977</v>
      </c>
      <c r="B55" s="184">
        <v>6682.8</v>
      </c>
      <c r="C55" s="193">
        <v>2081.826</v>
      </c>
      <c r="D55">
        <v>31.148</v>
      </c>
      <c r="E55" s="6"/>
      <c r="F55" s="6"/>
      <c r="G55" s="6"/>
      <c r="H55" s="6"/>
      <c r="I55" s="6"/>
    </row>
    <row r="56" spans="1:9" ht="17.5" customHeight="1">
      <c r="A56" s="22">
        <v>1978</v>
      </c>
      <c r="B56" s="184">
        <v>7052.7</v>
      </c>
      <c r="C56" s="193">
        <v>2351.5990000000002</v>
      </c>
      <c r="D56">
        <v>33.338999999999999</v>
      </c>
      <c r="E56" s="6"/>
      <c r="F56" s="6"/>
      <c r="G56" s="6"/>
      <c r="H56" s="6"/>
      <c r="I56" s="6"/>
    </row>
    <row r="57" spans="1:9" ht="17.5" customHeight="1">
      <c r="A57" s="22">
        <v>1979</v>
      </c>
      <c r="B57" s="184">
        <v>7276</v>
      </c>
      <c r="C57" s="193">
        <v>2627.3330000000001</v>
      </c>
      <c r="D57">
        <v>36.103999999999999</v>
      </c>
      <c r="E57" s="6"/>
      <c r="F57" s="6"/>
      <c r="G57" s="6"/>
      <c r="H57" s="6"/>
      <c r="I57" s="6"/>
    </row>
    <row r="58" spans="1:9" ht="17.5" customHeight="1">
      <c r="A58" s="22">
        <v>1980</v>
      </c>
      <c r="B58" s="184">
        <v>7257.3</v>
      </c>
      <c r="C58" s="193">
        <v>2857.3069999999998</v>
      </c>
      <c r="D58">
        <v>39.375</v>
      </c>
      <c r="E58" s="6"/>
      <c r="F58" s="6"/>
      <c r="G58" s="6"/>
      <c r="H58" s="6"/>
      <c r="I58" s="6"/>
    </row>
    <row r="59" spans="1:9" ht="17.5" customHeight="1">
      <c r="A59" s="22">
        <v>1981</v>
      </c>
      <c r="B59" s="184">
        <v>7441.5</v>
      </c>
      <c r="C59" s="193">
        <v>3207.0410000000002</v>
      </c>
      <c r="D59">
        <v>43.091999999999999</v>
      </c>
      <c r="E59" s="6"/>
      <c r="F59" s="6"/>
      <c r="G59" s="6"/>
      <c r="H59" s="6"/>
      <c r="I59" s="6"/>
    </row>
    <row r="60" spans="1:9" ht="17.5" customHeight="1">
      <c r="A60" s="22">
        <v>1982</v>
      </c>
      <c r="B60" s="184">
        <v>7307.3</v>
      </c>
      <c r="C60" s="193">
        <v>3343.7890000000002</v>
      </c>
      <c r="D60">
        <v>45.756</v>
      </c>
      <c r="E60" s="6"/>
      <c r="F60" s="6"/>
      <c r="G60" s="6"/>
      <c r="H60" s="6"/>
      <c r="I60" s="6"/>
    </row>
    <row r="61" spans="1:9" ht="17.5" customHeight="1">
      <c r="A61" s="22">
        <v>1983</v>
      </c>
      <c r="B61" s="184">
        <v>7642.3</v>
      </c>
      <c r="C61" s="193">
        <v>3634.038</v>
      </c>
      <c r="D61">
        <v>47.545000000000002</v>
      </c>
      <c r="E61" s="6"/>
      <c r="F61" s="6"/>
      <c r="G61" s="6"/>
      <c r="H61" s="6"/>
      <c r="I61" s="6"/>
    </row>
    <row r="62" spans="1:9" ht="17.5" customHeight="1">
      <c r="A62" s="22">
        <v>1984</v>
      </c>
      <c r="B62" s="184">
        <v>8195.2999999999993</v>
      </c>
      <c r="C62" s="193">
        <v>4037.6129999999998</v>
      </c>
      <c r="D62">
        <v>49.262</v>
      </c>
      <c r="E62" s="6"/>
      <c r="F62" s="6"/>
      <c r="G62" s="6"/>
      <c r="H62" s="6"/>
      <c r="I62" s="6"/>
    </row>
    <row r="63" spans="1:9" ht="17.5" customHeight="1">
      <c r="A63" s="22">
        <v>1985</v>
      </c>
      <c r="B63" s="184">
        <v>8537</v>
      </c>
      <c r="C63" s="193">
        <v>4338.9790000000003</v>
      </c>
      <c r="D63">
        <v>50.82</v>
      </c>
      <c r="E63" s="6"/>
      <c r="F63" s="6"/>
      <c r="G63" s="6"/>
      <c r="H63" s="6"/>
      <c r="I63" s="6"/>
    </row>
    <row r="64" spans="1:9" ht="17.5" customHeight="1">
      <c r="A64" s="22">
        <v>1986</v>
      </c>
      <c r="B64" s="184">
        <v>8832.6</v>
      </c>
      <c r="C64" s="193">
        <v>4579.6310000000003</v>
      </c>
      <c r="D64">
        <v>51.85</v>
      </c>
      <c r="E64" s="6"/>
      <c r="F64" s="6"/>
      <c r="G64" s="6"/>
      <c r="H64" s="6"/>
      <c r="I64" s="6"/>
    </row>
    <row r="65" spans="1:9" ht="17.5" customHeight="1">
      <c r="A65" s="22">
        <v>1987</v>
      </c>
      <c r="B65" s="184">
        <v>9137.7000000000007</v>
      </c>
      <c r="C65" s="193">
        <v>4855.2150000000001</v>
      </c>
      <c r="D65">
        <v>53.125999999999998</v>
      </c>
      <c r="E65" s="6"/>
      <c r="F65" s="6"/>
      <c r="G65" s="6"/>
      <c r="H65" s="6"/>
      <c r="I65" s="6"/>
    </row>
    <row r="66" spans="1:9" ht="17.5" customHeight="1">
      <c r="A66" s="22">
        <v>1988</v>
      </c>
      <c r="B66" s="184">
        <v>9519.4</v>
      </c>
      <c r="C66" s="193">
        <v>5236.4380000000001</v>
      </c>
      <c r="D66">
        <v>55.002000000000002</v>
      </c>
      <c r="E66" s="6"/>
      <c r="F66" s="6"/>
      <c r="G66" s="6"/>
      <c r="H66" s="6"/>
      <c r="I66" s="6"/>
    </row>
    <row r="67" spans="1:9" ht="17.5" customHeight="1">
      <c r="A67" s="22">
        <v>1989</v>
      </c>
      <c r="B67" s="184">
        <v>9869</v>
      </c>
      <c r="C67" s="193">
        <v>5641.58</v>
      </c>
      <c r="D67">
        <v>57.158999999999999</v>
      </c>
      <c r="E67" s="6"/>
      <c r="F67" s="6"/>
      <c r="G67" s="6"/>
      <c r="H67" s="6"/>
      <c r="I67" s="6"/>
    </row>
    <row r="68" spans="1:9" ht="17.5" customHeight="1">
      <c r="A68" s="22">
        <v>1990</v>
      </c>
      <c r="B68" s="184">
        <v>10055.1</v>
      </c>
      <c r="C68" s="193">
        <v>5963.1440000000002</v>
      </c>
      <c r="D68">
        <v>59.307000000000002</v>
      </c>
      <c r="E68" s="6"/>
      <c r="F68" s="6"/>
      <c r="G68" s="6"/>
      <c r="H68" s="6"/>
      <c r="I68" s="6"/>
    </row>
    <row r="69" spans="1:9" ht="17.5" customHeight="1">
      <c r="A69" s="22">
        <v>1991</v>
      </c>
      <c r="B69" s="184">
        <v>10044.200000000001</v>
      </c>
      <c r="C69" s="193">
        <v>6158.1289999999999</v>
      </c>
      <c r="D69">
        <v>61.302999999999997</v>
      </c>
      <c r="E69" s="6"/>
      <c r="F69" s="6"/>
      <c r="G69" s="6"/>
      <c r="H69" s="6"/>
      <c r="I69" s="6"/>
    </row>
    <row r="70" spans="1:9" ht="17.5" customHeight="1">
      <c r="A70" s="22">
        <v>1992</v>
      </c>
      <c r="B70" s="184">
        <v>10398</v>
      </c>
      <c r="C70" s="193">
        <v>6520.3270000000002</v>
      </c>
      <c r="D70">
        <v>62.701000000000001</v>
      </c>
      <c r="E70" s="6"/>
      <c r="F70" s="6"/>
      <c r="G70" s="6"/>
      <c r="H70" s="6"/>
      <c r="I70" s="6"/>
    </row>
    <row r="71" spans="1:9" ht="17.5" customHeight="1">
      <c r="A71" s="22">
        <v>1993</v>
      </c>
      <c r="B71" s="184">
        <v>10684.2</v>
      </c>
      <c r="C71" s="193">
        <v>6858.5590000000002</v>
      </c>
      <c r="D71">
        <v>64.188999999999993</v>
      </c>
      <c r="E71" s="6"/>
      <c r="F71" s="6"/>
      <c r="G71" s="6"/>
      <c r="H71" s="6"/>
      <c r="I71" s="6"/>
    </row>
    <row r="72" spans="1:9" ht="17.5" customHeight="1">
      <c r="A72" s="22">
        <v>1994</v>
      </c>
      <c r="B72" s="184">
        <v>11114.6</v>
      </c>
      <c r="C72" s="193">
        <v>7287.2359999999999</v>
      </c>
      <c r="D72">
        <v>65.557000000000002</v>
      </c>
      <c r="E72" s="6"/>
      <c r="F72" s="6"/>
      <c r="G72" s="6"/>
      <c r="H72" s="6"/>
      <c r="I72" s="6"/>
    </row>
    <row r="73" spans="1:9" ht="17.5" customHeight="1">
      <c r="A73" s="22">
        <v>1995</v>
      </c>
      <c r="B73" s="184">
        <v>11413</v>
      </c>
      <c r="C73" s="193">
        <v>7639.7489999999998</v>
      </c>
      <c r="D73">
        <v>66.933000000000007</v>
      </c>
      <c r="E73" s="6"/>
      <c r="F73" s="6"/>
      <c r="G73" s="6"/>
      <c r="H73" s="6"/>
      <c r="I73" s="6"/>
    </row>
    <row r="74" spans="1:9" ht="17.5" customHeight="1">
      <c r="A74" s="22">
        <v>1996</v>
      </c>
      <c r="B74" s="184">
        <v>11843.6</v>
      </c>
      <c r="C74" s="193">
        <v>8073.1220000000003</v>
      </c>
      <c r="D74">
        <v>68.156000000000006</v>
      </c>
      <c r="E74" s="6"/>
      <c r="F74" s="6"/>
      <c r="G74" s="6"/>
      <c r="H74" s="6"/>
      <c r="I74" s="6"/>
    </row>
    <row r="75" spans="1:9" ht="17.5" customHeight="1">
      <c r="A75" s="22">
        <v>1997</v>
      </c>
      <c r="B75" s="184">
        <v>12370.3</v>
      </c>
      <c r="C75" s="193">
        <v>8577.5519999999997</v>
      </c>
      <c r="D75">
        <v>69.337000000000003</v>
      </c>
      <c r="E75" s="6"/>
      <c r="F75" s="6"/>
      <c r="G75" s="6"/>
      <c r="H75" s="6"/>
      <c r="I75" s="6"/>
    </row>
    <row r="76" spans="1:9" ht="17.5" customHeight="1">
      <c r="A76" s="22">
        <v>1998</v>
      </c>
      <c r="B76" s="184">
        <v>12924.9</v>
      </c>
      <c r="C76" s="193">
        <v>9062.8169999999991</v>
      </c>
      <c r="D76">
        <v>70.102000000000004</v>
      </c>
      <c r="E76" s="6"/>
      <c r="F76" s="6"/>
      <c r="G76" s="6"/>
      <c r="H76" s="6"/>
      <c r="I76" s="6"/>
    </row>
    <row r="77" spans="1:9" ht="17.5" customHeight="1">
      <c r="A77" s="22">
        <v>1999</v>
      </c>
      <c r="B77" s="184">
        <v>13543.8</v>
      </c>
      <c r="C77" s="193">
        <v>9631.1720000000005</v>
      </c>
      <c r="D77">
        <v>71.084000000000003</v>
      </c>
      <c r="E77" s="6"/>
      <c r="F77" s="6"/>
      <c r="G77" s="6"/>
      <c r="H77" s="6"/>
      <c r="I77" s="6"/>
    </row>
    <row r="78" spans="1:9" ht="17.5" customHeight="1">
      <c r="A78" s="22">
        <v>2000</v>
      </c>
      <c r="B78" s="184">
        <v>14096</v>
      </c>
      <c r="C78" s="193">
        <v>10250.951999999999</v>
      </c>
      <c r="D78">
        <v>72.709000000000003</v>
      </c>
      <c r="E78" s="6"/>
      <c r="F78" s="6"/>
      <c r="G78" s="6"/>
      <c r="H78" s="6"/>
      <c r="I78" s="6"/>
    </row>
    <row r="79" spans="1:9" ht="17.5" customHeight="1">
      <c r="A79" s="22">
        <v>2001</v>
      </c>
      <c r="B79" s="184">
        <v>14230.7</v>
      </c>
      <c r="C79" s="193">
        <v>10581.929</v>
      </c>
      <c r="D79">
        <v>74.385000000000005</v>
      </c>
      <c r="E79" s="6"/>
      <c r="F79" s="6"/>
      <c r="G79" s="6"/>
      <c r="H79" s="6"/>
      <c r="I79" s="6"/>
    </row>
    <row r="80" spans="1:9" ht="17.5" customHeight="1">
      <c r="A80" s="22">
        <v>2002</v>
      </c>
      <c r="B80" s="184">
        <v>14472.7</v>
      </c>
      <c r="C80" s="193">
        <v>10929.108</v>
      </c>
      <c r="D80">
        <v>75.5</v>
      </c>
      <c r="E80" s="6"/>
      <c r="F80" s="6"/>
      <c r="G80" s="6"/>
      <c r="H80" s="6"/>
      <c r="I80" s="6"/>
    </row>
    <row r="81" spans="1:9" ht="17.5" customHeight="1">
      <c r="A81" s="22">
        <v>2003</v>
      </c>
      <c r="B81" s="184">
        <v>14877.3</v>
      </c>
      <c r="C81" s="193">
        <v>11456.45</v>
      </c>
      <c r="D81">
        <v>77.012</v>
      </c>
      <c r="E81" s="6"/>
      <c r="F81" s="6"/>
      <c r="G81" s="6"/>
      <c r="H81" s="6"/>
      <c r="I81" s="6"/>
    </row>
    <row r="82" spans="1:9" ht="17.5" customHeight="1">
      <c r="A82" s="22">
        <v>2004</v>
      </c>
      <c r="B82" s="184">
        <v>15449.8</v>
      </c>
      <c r="C82" s="193">
        <v>12217.196</v>
      </c>
      <c r="D82">
        <v>79.069000000000003</v>
      </c>
      <c r="E82" s="6"/>
      <c r="F82" s="6"/>
      <c r="G82" s="6"/>
      <c r="H82" s="6"/>
      <c r="I82" s="6"/>
    </row>
    <row r="83" spans="1:9" ht="17.5" customHeight="1">
      <c r="A83" s="22">
        <v>2005</v>
      </c>
      <c r="B83" s="184">
        <v>15988</v>
      </c>
      <c r="C83" s="193">
        <v>13039.197</v>
      </c>
      <c r="D83">
        <v>81.537000000000006</v>
      </c>
      <c r="E83" s="6"/>
      <c r="F83" s="6"/>
      <c r="G83" s="6"/>
      <c r="H83" s="6"/>
      <c r="I83" s="6"/>
    </row>
    <row r="84" spans="1:9" ht="17.5" customHeight="1">
      <c r="A84" s="22">
        <v>2006</v>
      </c>
      <c r="B84" s="184">
        <v>16433.099999999999</v>
      </c>
      <c r="C84" s="193">
        <v>13815.583000000001</v>
      </c>
      <c r="D84">
        <v>84.073999999999998</v>
      </c>
      <c r="E84" s="6"/>
      <c r="F84" s="6"/>
      <c r="G84" s="6"/>
      <c r="H84" s="6"/>
      <c r="I84" s="6"/>
    </row>
    <row r="85" spans="1:9" ht="17.5" customHeight="1">
      <c r="A85" s="22">
        <v>2007</v>
      </c>
      <c r="B85" s="184">
        <v>16762.400000000001</v>
      </c>
      <c r="C85" s="193">
        <v>14474.227999999999</v>
      </c>
      <c r="D85">
        <v>86.352000000000004</v>
      </c>
      <c r="E85" s="6"/>
      <c r="F85" s="6"/>
      <c r="G85" s="6"/>
      <c r="H85" s="6"/>
      <c r="I85" s="6"/>
    </row>
    <row r="86" spans="1:9" ht="17.5" customHeight="1">
      <c r="A86" s="22">
        <v>2008</v>
      </c>
      <c r="B86" s="184">
        <v>16781.5</v>
      </c>
      <c r="C86" s="193">
        <v>14769.861999999999</v>
      </c>
      <c r="D86">
        <v>87.977000000000004</v>
      </c>
      <c r="E86" s="6"/>
      <c r="F86" s="6"/>
      <c r="G86" s="6"/>
      <c r="H86" s="6"/>
      <c r="I86" s="6"/>
    </row>
    <row r="87" spans="1:9" ht="17.5" customHeight="1">
      <c r="A87" s="22">
        <v>2009</v>
      </c>
      <c r="B87" s="184">
        <v>16349.1</v>
      </c>
      <c r="C87" s="193">
        <v>14478.066999999999</v>
      </c>
      <c r="D87">
        <v>88.557000000000002</v>
      </c>
      <c r="E87" s="6"/>
      <c r="F87" s="6"/>
      <c r="G87" s="6"/>
      <c r="H87" s="6"/>
      <c r="I87" s="6"/>
    </row>
    <row r="88" spans="1:9" ht="17.5" customHeight="1">
      <c r="A88" s="22">
        <v>2010</v>
      </c>
      <c r="B88" s="184">
        <v>16789.8</v>
      </c>
      <c r="C88" s="193">
        <v>15048.971</v>
      </c>
      <c r="D88">
        <v>89.617999999999995</v>
      </c>
      <c r="E88" s="6"/>
      <c r="F88" s="6"/>
      <c r="G88" s="6"/>
      <c r="H88" s="6"/>
      <c r="I88" s="6"/>
    </row>
    <row r="89" spans="1:9" ht="17.5" customHeight="1">
      <c r="A89" s="22">
        <v>2011</v>
      </c>
      <c r="B89" s="184">
        <v>17052.400000000001</v>
      </c>
      <c r="C89" s="193">
        <v>15599.732</v>
      </c>
      <c r="D89">
        <v>91.465999999999994</v>
      </c>
      <c r="E89" s="6"/>
      <c r="F89" s="6"/>
      <c r="G89" s="6"/>
      <c r="H89" s="6"/>
      <c r="I89" s="6"/>
    </row>
    <row r="90" spans="1:9" ht="17.5" customHeight="1">
      <c r="A90" s="22">
        <v>2012</v>
      </c>
      <c r="B90" s="184">
        <v>17442.8</v>
      </c>
      <c r="C90" s="193">
        <v>16253.97</v>
      </c>
      <c r="D90">
        <v>93.176000000000002</v>
      </c>
      <c r="E90" s="6"/>
      <c r="F90" s="6"/>
      <c r="G90" s="6"/>
      <c r="H90" s="6"/>
      <c r="I90" s="6"/>
    </row>
    <row r="91" spans="1:9" ht="17.5" customHeight="1">
      <c r="A91" s="22">
        <v>2013</v>
      </c>
      <c r="B91" s="186">
        <v>17812.2</v>
      </c>
      <c r="C91" s="193">
        <v>16880.683000000001</v>
      </c>
      <c r="D91" s="185">
        <v>94.786000000000001</v>
      </c>
      <c r="E91" s="6"/>
      <c r="F91" s="6"/>
      <c r="G91" s="6"/>
      <c r="H91" s="6"/>
      <c r="I91" s="6"/>
    </row>
    <row r="92" spans="1:9" ht="17.5" customHeight="1">
      <c r="A92" s="22">
        <v>2014</v>
      </c>
      <c r="B92" s="184">
        <v>18261.7</v>
      </c>
      <c r="C92" s="193">
        <v>17608.137999999999</v>
      </c>
      <c r="D92">
        <v>96.436000000000007</v>
      </c>
      <c r="E92" s="6"/>
      <c r="F92" s="6"/>
      <c r="G92" s="6"/>
      <c r="H92"/>
      <c r="I92" s="6"/>
    </row>
    <row r="93" spans="1:9" ht="17.5" customHeight="1">
      <c r="A93" s="22">
        <v>2015</v>
      </c>
      <c r="B93" s="184">
        <v>18799.599999999999</v>
      </c>
      <c r="C93" s="193">
        <v>18295.019</v>
      </c>
      <c r="D93">
        <v>97.277000000000001</v>
      </c>
      <c r="E93" s="6"/>
      <c r="F93" s="6"/>
      <c r="G93" s="6"/>
      <c r="H93"/>
      <c r="I93" s="6"/>
    </row>
    <row r="94" spans="1:9" ht="17.5" customHeight="1">
      <c r="A94" s="22">
        <v>2016</v>
      </c>
      <c r="B94" s="184">
        <v>19141.7</v>
      </c>
      <c r="C94" s="193">
        <v>18804.913</v>
      </c>
      <c r="D94">
        <v>98.207999999999998</v>
      </c>
      <c r="E94" s="6"/>
      <c r="F94" s="6"/>
      <c r="G94" s="6"/>
      <c r="H94"/>
      <c r="I94" s="6"/>
    </row>
    <row r="95" spans="1:9" s="196" customFormat="1" ht="17.5" customHeight="1">
      <c r="A95" s="197">
        <v>2017</v>
      </c>
      <c r="B95" s="186">
        <v>19612.099999999999</v>
      </c>
      <c r="C95" s="198">
        <v>19612.101999999999</v>
      </c>
      <c r="D95" s="185">
        <v>100</v>
      </c>
      <c r="E95" s="195"/>
      <c r="F95" s="195"/>
      <c r="G95" s="195"/>
      <c r="H95" s="194"/>
      <c r="I95" s="195"/>
    </row>
    <row r="96" spans="1:9" ht="17.5" customHeight="1">
      <c r="A96" s="22">
        <v>2018</v>
      </c>
      <c r="B96" s="184">
        <v>20193.900000000001</v>
      </c>
      <c r="C96" s="193">
        <v>20656.516</v>
      </c>
      <c r="D96">
        <v>102.29</v>
      </c>
      <c r="E96" s="6"/>
      <c r="F96" s="6"/>
      <c r="G96" s="6"/>
      <c r="H96"/>
      <c r="I96" s="6"/>
    </row>
    <row r="97" spans="1:9" ht="17.5" customHeight="1">
      <c r="A97" s="22">
        <v>2019</v>
      </c>
      <c r="B97" s="184">
        <v>20692.099999999999</v>
      </c>
      <c r="C97" s="193">
        <v>21521.395</v>
      </c>
      <c r="D97">
        <v>104.008</v>
      </c>
      <c r="E97" s="6"/>
      <c r="F97" s="6"/>
      <c r="G97" s="6"/>
      <c r="H97"/>
      <c r="I97" s="6"/>
    </row>
    <row r="98" spans="1:9" ht="17.5" customHeight="1">
      <c r="A98" s="22">
        <v>2020</v>
      </c>
      <c r="B98" s="184">
        <v>20234.099999999999</v>
      </c>
      <c r="C98" s="193">
        <v>21322.95</v>
      </c>
      <c r="D98">
        <v>105.407</v>
      </c>
      <c r="E98" s="6"/>
      <c r="F98" s="6"/>
      <c r="G98" s="6"/>
      <c r="H98"/>
      <c r="I98" s="6"/>
    </row>
    <row r="99" spans="1:9" ht="13" customHeight="1">
      <c r="A99" s="24">
        <v>2021</v>
      </c>
      <c r="B99" s="184">
        <v>21407.7</v>
      </c>
      <c r="C99" s="193">
        <v>23594.030999999999</v>
      </c>
      <c r="D99">
        <v>110.22</v>
      </c>
      <c r="E99" s="6"/>
      <c r="F99" s="6"/>
      <c r="G99" s="6"/>
      <c r="H99"/>
      <c r="I99" s="6"/>
    </row>
    <row r="100" spans="1:9" ht="17.5" customHeight="1">
      <c r="A100" s="6">
        <v>2022</v>
      </c>
      <c r="B100" s="184">
        <v>21822</v>
      </c>
      <c r="C100" s="193">
        <v>25744.108</v>
      </c>
      <c r="D100">
        <v>117.996</v>
      </c>
      <c r="E100" s="6"/>
      <c r="F100" s="6"/>
      <c r="G100" s="6"/>
      <c r="H100"/>
      <c r="I100" s="6"/>
    </row>
    <row r="101" spans="1:9" ht="17.5" customHeight="1">
      <c r="A101" s="6"/>
      <c r="B101" s="17"/>
      <c r="C101" s="6"/>
      <c r="D101" s="6"/>
      <c r="E101" s="6"/>
      <c r="F101" s="6"/>
      <c r="G101" s="6"/>
      <c r="H101"/>
      <c r="I101" s="6"/>
    </row>
    <row r="102" spans="1:9" ht="17.5" customHeight="1">
      <c r="A102" s="6"/>
      <c r="B102" s="17"/>
      <c r="C102" s="6"/>
      <c r="D102" s="6"/>
      <c r="E102" s="6"/>
      <c r="F102" s="6"/>
      <c r="G102" s="6"/>
      <c r="H102" s="6"/>
      <c r="I102" s="6"/>
    </row>
    <row r="103" spans="1:9" ht="17.5" customHeight="1">
      <c r="A103" s="6"/>
      <c r="B103" s="17"/>
      <c r="C103" s="6"/>
      <c r="D103" s="6"/>
      <c r="E103" s="6"/>
      <c r="F103" s="6"/>
      <c r="G103" s="6"/>
      <c r="H103" s="6"/>
      <c r="I103" s="6"/>
    </row>
    <row r="104" spans="1:9" ht="17.5" customHeight="1">
      <c r="A104" s="6"/>
      <c r="B104" s="17"/>
      <c r="C104" s="6"/>
      <c r="D104" s="6"/>
      <c r="E104" s="6"/>
      <c r="F104" s="6"/>
      <c r="G104" s="6"/>
      <c r="H104" s="6"/>
      <c r="I104" s="6"/>
    </row>
    <row r="105" spans="1:9" ht="17.5" customHeight="1">
      <c r="A105" s="6"/>
      <c r="B105" s="17"/>
      <c r="C105" s="6"/>
      <c r="D105" s="6"/>
      <c r="E105" s="6"/>
      <c r="F105" s="6"/>
      <c r="G105" s="6"/>
      <c r="H105" s="6"/>
      <c r="I105" s="6"/>
    </row>
    <row r="106" spans="1:9" ht="17.5" customHeight="1">
      <c r="A106" s="6"/>
      <c r="B106" s="17"/>
      <c r="C106" s="6"/>
      <c r="D106" s="6"/>
      <c r="E106" s="6"/>
      <c r="F106" s="6"/>
      <c r="G106" s="6"/>
      <c r="H106" s="6"/>
      <c r="I106" s="6"/>
    </row>
    <row r="107" spans="1:9" ht="17.5" customHeight="1">
      <c r="A107" s="6"/>
      <c r="B107" s="17"/>
      <c r="C107" s="6"/>
      <c r="D107" s="6"/>
      <c r="E107" s="6"/>
      <c r="F107" s="6"/>
      <c r="G107" s="6"/>
      <c r="H107" s="6"/>
      <c r="I107" s="6"/>
    </row>
    <row r="108" spans="1:9" ht="17.5" customHeight="1">
      <c r="A108" s="6"/>
      <c r="B108" s="17"/>
      <c r="C108" s="6"/>
      <c r="D108" s="6"/>
      <c r="E108" s="6"/>
      <c r="F108" s="6"/>
      <c r="G108" s="6"/>
      <c r="H108" s="6"/>
      <c r="I108" s="6"/>
    </row>
    <row r="109" spans="1:9" ht="17.5" customHeight="1">
      <c r="A109" s="6"/>
      <c r="B109" s="17"/>
      <c r="C109" s="6"/>
      <c r="D109" s="6"/>
      <c r="E109" s="6"/>
      <c r="F109" s="6"/>
      <c r="G109" s="6"/>
      <c r="H109" s="6"/>
      <c r="I109" s="6"/>
    </row>
    <row r="110" spans="1:9" ht="17.5" customHeight="1">
      <c r="A110" s="6"/>
      <c r="B110" s="17"/>
      <c r="C110" s="6"/>
      <c r="D110" s="6"/>
      <c r="E110" s="6"/>
      <c r="F110" s="6"/>
      <c r="G110" s="6"/>
      <c r="H110" s="6"/>
      <c r="I110" s="6"/>
    </row>
    <row r="111" spans="1:9" ht="17.5" customHeight="1">
      <c r="A111" s="6"/>
      <c r="B111" s="17"/>
      <c r="C111" s="6"/>
      <c r="D111" s="6"/>
      <c r="E111" s="6"/>
      <c r="F111" s="6"/>
      <c r="G111" s="6"/>
      <c r="H111" s="6"/>
      <c r="I111" s="6"/>
    </row>
    <row r="112" spans="1:9" ht="17.5" customHeight="1">
      <c r="A112" s="6"/>
      <c r="B112" s="17"/>
      <c r="C112" s="6"/>
      <c r="D112" s="6"/>
      <c r="E112" s="6"/>
      <c r="F112" s="6"/>
      <c r="G112" s="6"/>
      <c r="H112" s="6"/>
      <c r="I112" s="6"/>
    </row>
    <row r="113" spans="1:9" ht="13.75" customHeight="1">
      <c r="A113" s="6"/>
      <c r="B113" s="6"/>
      <c r="C113" s="6"/>
      <c r="D113" s="6"/>
      <c r="E113" s="6"/>
      <c r="F113" s="6"/>
      <c r="G113" s="6"/>
      <c r="H113" s="6"/>
      <c r="I113" s="6"/>
    </row>
    <row r="114" spans="1:9" ht="13.75" customHeight="1">
      <c r="A114" s="6"/>
      <c r="B114" s="6"/>
      <c r="C114" s="6"/>
      <c r="D114" s="6"/>
      <c r="E114" s="6"/>
      <c r="F114" s="6"/>
      <c r="G114" s="6"/>
      <c r="H114" s="6"/>
      <c r="I114" s="6"/>
    </row>
    <row r="115" spans="1:9" ht="13.75" customHeight="1">
      <c r="A115" s="6"/>
      <c r="B115" s="6"/>
      <c r="C115" s="6"/>
      <c r="D115" s="6"/>
      <c r="E115" s="6"/>
      <c r="F115" s="6"/>
      <c r="G115" s="6"/>
      <c r="H115" s="6"/>
      <c r="I115" s="6"/>
    </row>
    <row r="116" spans="1:9" ht="13.75" customHeight="1">
      <c r="A116" s="6"/>
      <c r="B116" s="6"/>
      <c r="C116" s="6"/>
      <c r="D116" s="6"/>
      <c r="E116" s="6"/>
      <c r="F116" s="6"/>
      <c r="G116" s="6"/>
      <c r="H116" s="6"/>
      <c r="I116" s="6"/>
    </row>
    <row r="117" spans="1:9" ht="13.75" customHeight="1">
      <c r="A117" s="6"/>
      <c r="B117" s="6"/>
      <c r="C117" s="6"/>
      <c r="D117" s="6"/>
      <c r="E117" s="6"/>
      <c r="F117" s="6"/>
      <c r="G117" s="6"/>
      <c r="H117" s="6"/>
      <c r="I117" s="6"/>
    </row>
    <row r="118" spans="1:9" ht="13.75" customHeight="1">
      <c r="A118" s="6"/>
      <c r="B118" s="6"/>
      <c r="C118" s="6"/>
      <c r="D118" s="6"/>
      <c r="E118" s="6"/>
      <c r="F118" s="6"/>
      <c r="G118" s="6"/>
      <c r="H118" s="6"/>
      <c r="I118" s="6"/>
    </row>
    <row r="119" spans="1:9" ht="13.75" customHeight="1">
      <c r="A119" s="6"/>
      <c r="B119" s="6"/>
      <c r="C119" s="6"/>
      <c r="D119" s="6"/>
      <c r="E119" s="6"/>
      <c r="F119" s="6"/>
      <c r="G119" s="6"/>
      <c r="H119" s="6"/>
      <c r="I119" s="6"/>
    </row>
    <row r="120" spans="1:9" ht="13.75" customHeight="1">
      <c r="A120" s="6"/>
      <c r="B120" s="6"/>
      <c r="C120" s="6"/>
      <c r="D120" s="6"/>
      <c r="E120" s="6"/>
      <c r="F120" s="6"/>
      <c r="G120" s="6"/>
      <c r="H120" s="6"/>
      <c r="I120" s="6"/>
    </row>
    <row r="121" spans="1:9" ht="13.75" customHeight="1">
      <c r="A121" s="6"/>
      <c r="B121" s="6"/>
      <c r="C121" s="6"/>
      <c r="D121" s="6"/>
      <c r="E121" s="6"/>
      <c r="F121" s="6"/>
      <c r="G121" s="6"/>
      <c r="H121" s="6"/>
      <c r="I121" s="6"/>
    </row>
    <row r="122" spans="1:9" ht="13.75" customHeight="1">
      <c r="A122" s="6"/>
      <c r="B122" s="6"/>
      <c r="C122" s="6"/>
      <c r="D122" s="6"/>
      <c r="E122" s="6"/>
      <c r="F122" s="6"/>
      <c r="G122" s="6"/>
      <c r="H122" s="6"/>
      <c r="I122" s="6"/>
    </row>
    <row r="123" spans="1:9" ht="13.75" customHeight="1">
      <c r="A123" s="6"/>
      <c r="B123" s="6"/>
      <c r="C123" s="6"/>
      <c r="D123" s="6"/>
      <c r="E123" s="6"/>
      <c r="F123" s="6"/>
      <c r="G123" s="6"/>
      <c r="H123" s="6"/>
      <c r="I123" s="6"/>
    </row>
    <row r="124" spans="1:9" ht="13.75" customHeight="1">
      <c r="A124" s="6"/>
      <c r="B124" s="6"/>
      <c r="C124" s="6"/>
      <c r="D124" s="6"/>
      <c r="E124" s="6"/>
      <c r="F124" s="6"/>
      <c r="G124" s="6"/>
      <c r="H124" s="6"/>
      <c r="I124" s="6"/>
    </row>
    <row r="125" spans="1:9" ht="13.75" customHeight="1">
      <c r="A125" s="6"/>
      <c r="B125" s="6"/>
      <c r="C125" s="6"/>
      <c r="D125" s="6"/>
      <c r="E125" s="6"/>
      <c r="F125" s="6"/>
      <c r="G125" s="6"/>
      <c r="H125" s="6"/>
      <c r="I125" s="6"/>
    </row>
    <row r="126" spans="1:9" ht="13.75" customHeight="1">
      <c r="A126" s="6"/>
      <c r="B126" s="6"/>
      <c r="C126" s="6"/>
      <c r="D126" s="6"/>
      <c r="E126" s="6"/>
      <c r="F126" s="6"/>
      <c r="G126" s="6"/>
      <c r="H126" s="6"/>
      <c r="I126" s="6"/>
    </row>
    <row r="127" spans="1:9" ht="13.75" customHeight="1">
      <c r="A127" s="6"/>
      <c r="B127" s="6"/>
      <c r="C127" s="6"/>
      <c r="D127" s="6"/>
      <c r="E127" s="6"/>
      <c r="F127" s="6"/>
      <c r="G127" s="6"/>
      <c r="H127" s="6"/>
      <c r="I127" s="6"/>
    </row>
    <row r="128" spans="1:9" ht="13.75" customHeight="1">
      <c r="A128" s="6"/>
      <c r="B128" s="6"/>
      <c r="C128" s="6"/>
      <c r="D128" s="6"/>
      <c r="E128" s="6"/>
      <c r="F128" s="6"/>
      <c r="G128" s="6"/>
      <c r="H128" s="6"/>
      <c r="I128" s="6"/>
    </row>
    <row r="129" spans="1:9" ht="13.75" customHeight="1">
      <c r="A129" s="6"/>
      <c r="B129" s="6"/>
      <c r="C129" s="6"/>
      <c r="D129" s="6"/>
      <c r="E129" s="6"/>
      <c r="F129" s="6"/>
      <c r="G129" s="6"/>
      <c r="H129" s="6"/>
      <c r="I129" s="6"/>
    </row>
    <row r="130" spans="1:9" ht="13.75" customHeight="1">
      <c r="A130" s="6"/>
      <c r="B130" s="6"/>
      <c r="C130" s="6"/>
      <c r="D130" s="6"/>
      <c r="E130" s="6"/>
      <c r="F130" s="6"/>
      <c r="G130" s="6"/>
      <c r="H130" s="6"/>
      <c r="I130" s="6"/>
    </row>
    <row r="131" spans="1:9" ht="13.75" customHeight="1">
      <c r="A131" s="6"/>
      <c r="B131" s="6"/>
      <c r="C131" s="6"/>
      <c r="D131" s="6"/>
      <c r="E131" s="6"/>
      <c r="F131" s="6"/>
      <c r="G131" s="6"/>
      <c r="H131" s="6"/>
      <c r="I131" s="6"/>
    </row>
    <row r="132" spans="1:9" ht="13.75" customHeight="1">
      <c r="A132" s="6"/>
      <c r="B132" s="6"/>
      <c r="C132" s="6"/>
      <c r="D132" s="6"/>
      <c r="E132" s="6"/>
      <c r="F132" s="6"/>
      <c r="G132" s="6"/>
      <c r="H132" s="6"/>
      <c r="I132" s="6"/>
    </row>
    <row r="133" spans="1:9" ht="13.75" customHeight="1">
      <c r="A133" s="6"/>
      <c r="B133" s="6"/>
      <c r="C133" s="6"/>
      <c r="D133" s="6"/>
      <c r="E133" s="6"/>
      <c r="F133" s="6"/>
      <c r="G133" s="6"/>
      <c r="H133" s="6"/>
      <c r="I133" s="6"/>
    </row>
    <row r="134" spans="1:9" ht="13.75" customHeight="1">
      <c r="A134" s="6"/>
      <c r="B134" s="6"/>
      <c r="C134" s="6"/>
      <c r="D134" s="6"/>
      <c r="E134" s="6"/>
      <c r="F134" s="6"/>
      <c r="G134" s="6"/>
      <c r="H134" s="6"/>
      <c r="I134" s="6"/>
    </row>
    <row r="135" spans="1:9" ht="13.75" customHeight="1">
      <c r="A135" s="6"/>
      <c r="B135" s="6"/>
      <c r="C135" s="6"/>
      <c r="D135" s="6"/>
      <c r="E135" s="6"/>
      <c r="F135" s="6"/>
      <c r="G135" s="6"/>
      <c r="H135" s="6"/>
      <c r="I135" s="6"/>
    </row>
    <row r="136" spans="1:9" ht="13.75" customHeight="1">
      <c r="A136" s="6"/>
      <c r="B136" s="6"/>
      <c r="C136" s="6"/>
      <c r="D136" s="6"/>
      <c r="E136" s="6"/>
      <c r="F136" s="6"/>
      <c r="G136" s="6"/>
      <c r="H136" s="6"/>
      <c r="I136" s="6"/>
    </row>
    <row r="137" spans="1:9" ht="13.75" customHeight="1">
      <c r="A137" s="6"/>
      <c r="B137" s="6"/>
      <c r="C137" s="6"/>
      <c r="D137" s="6"/>
      <c r="E137" s="6"/>
      <c r="F137" s="6"/>
      <c r="G137" s="6"/>
      <c r="H137" s="6"/>
      <c r="I137" s="6"/>
    </row>
    <row r="138" spans="1:9" ht="13.75" customHeight="1">
      <c r="A138" s="6"/>
      <c r="B138" s="6"/>
      <c r="C138" s="6"/>
      <c r="D138" s="6"/>
      <c r="E138" s="6"/>
      <c r="F138" s="6"/>
      <c r="G138" s="6"/>
      <c r="H138" s="6"/>
      <c r="I138" s="6"/>
    </row>
    <row r="139" spans="1:9" ht="13.75" customHeight="1">
      <c r="A139" s="6"/>
      <c r="B139" s="6"/>
      <c r="C139" s="6"/>
      <c r="D139" s="6"/>
      <c r="E139" s="6"/>
      <c r="F139" s="6"/>
      <c r="G139" s="6"/>
      <c r="H139" s="6"/>
      <c r="I139" s="6"/>
    </row>
    <row r="140" spans="1:9" ht="13.75" customHeight="1">
      <c r="A140" s="6"/>
      <c r="B140" s="6"/>
      <c r="C140" s="6"/>
      <c r="D140" s="6"/>
      <c r="E140" s="6"/>
      <c r="F140" s="6"/>
      <c r="G140" s="6"/>
      <c r="H140" s="6"/>
      <c r="I140" s="6"/>
    </row>
    <row r="141" spans="1:9" ht="13.75" customHeight="1">
      <c r="A141" s="6"/>
      <c r="B141" s="6"/>
      <c r="C141" s="6"/>
      <c r="D141" s="6"/>
      <c r="E141" s="6"/>
      <c r="F141" s="6"/>
      <c r="G141" s="6"/>
      <c r="H141" s="6"/>
      <c r="I141" s="6"/>
    </row>
    <row r="142" spans="1:9" ht="13.75" customHeight="1">
      <c r="A142" s="6"/>
      <c r="B142" s="6"/>
      <c r="C142" s="6"/>
      <c r="D142" s="6"/>
      <c r="E142" s="6"/>
      <c r="F142" s="6"/>
      <c r="G142" s="6"/>
      <c r="H142" s="6"/>
      <c r="I142" s="6"/>
    </row>
    <row r="143" spans="1:9" ht="13.75" customHeight="1">
      <c r="A143" s="6"/>
      <c r="B143" s="6"/>
      <c r="C143" s="6"/>
      <c r="D143" s="6"/>
      <c r="E143" s="6"/>
      <c r="F143" s="6"/>
      <c r="G143" s="6"/>
      <c r="H143" s="6"/>
      <c r="I143" s="6"/>
    </row>
    <row r="144" spans="1:9" ht="13.75" customHeight="1">
      <c r="A144" s="6"/>
      <c r="B144" s="6"/>
      <c r="C144" s="6"/>
      <c r="D144" s="6"/>
      <c r="E144" s="6"/>
      <c r="F144" s="6"/>
      <c r="G144" s="6"/>
      <c r="H144" s="6"/>
      <c r="I144" s="6"/>
    </row>
    <row r="145" spans="1:9" ht="17.5" customHeight="1">
      <c r="A145" s="6"/>
      <c r="B145" s="17"/>
      <c r="C145" s="6"/>
      <c r="D145" s="6"/>
      <c r="E145" s="6"/>
      <c r="F145" s="6"/>
      <c r="G145" s="6"/>
      <c r="H145" s="6"/>
      <c r="I145" s="6"/>
    </row>
    <row r="146" spans="1:9" ht="17.5" customHeight="1">
      <c r="A146" s="6"/>
      <c r="B146" s="17"/>
      <c r="C146" s="6"/>
      <c r="D146" s="6"/>
      <c r="E146" s="6"/>
      <c r="F146" s="6"/>
      <c r="G146" s="6"/>
      <c r="H146" s="6"/>
      <c r="I146" s="6"/>
    </row>
    <row r="147" spans="1:9" ht="17.5" customHeight="1">
      <c r="A147" s="6"/>
      <c r="B147" s="17"/>
      <c r="C147" s="6"/>
      <c r="D147" s="6"/>
      <c r="E147" s="6"/>
      <c r="F147" s="6"/>
      <c r="G147" s="6"/>
      <c r="H147" s="6"/>
      <c r="I147" s="6"/>
    </row>
    <row r="148" spans="1:9" ht="17.5" customHeight="1">
      <c r="A148" s="6"/>
      <c r="B148" s="17"/>
      <c r="C148" s="6"/>
      <c r="D148" s="6"/>
      <c r="E148" s="6"/>
      <c r="F148" s="6"/>
      <c r="G148" s="6"/>
      <c r="H148" s="6"/>
      <c r="I148" s="6"/>
    </row>
    <row r="149" spans="1:9" ht="17.5" customHeight="1">
      <c r="A149" s="6"/>
      <c r="B149" s="17"/>
      <c r="C149" s="6"/>
      <c r="D149" s="6"/>
      <c r="E149" s="6"/>
      <c r="F149" s="6"/>
      <c r="G149" s="6"/>
      <c r="H149" s="6"/>
      <c r="I149" s="6"/>
    </row>
    <row r="150" spans="1:9" ht="17.5" customHeight="1">
      <c r="A150" s="6"/>
      <c r="B150" s="17"/>
      <c r="C150" s="6"/>
      <c r="D150" s="6"/>
      <c r="E150" s="6"/>
      <c r="F150" s="6"/>
      <c r="G150" s="6"/>
      <c r="H150" s="6"/>
      <c r="I150" s="6"/>
    </row>
    <row r="151" spans="1:9" ht="17.5" customHeight="1">
      <c r="A151" s="6"/>
      <c r="B151" s="17"/>
      <c r="C151" s="6"/>
      <c r="D151" s="6"/>
      <c r="E151" s="6"/>
      <c r="F151" s="6"/>
      <c r="G151" s="6"/>
      <c r="H151" s="6"/>
      <c r="I151" s="6"/>
    </row>
    <row r="152" spans="1:9" ht="17.5" customHeight="1">
      <c r="A152" s="6"/>
      <c r="B152" s="17"/>
      <c r="C152" s="6"/>
      <c r="D152" s="6"/>
      <c r="E152" s="6"/>
      <c r="F152" s="6"/>
      <c r="G152" s="6"/>
      <c r="H152" s="6"/>
      <c r="I152" s="6"/>
    </row>
    <row r="153" spans="1:9" ht="17.5" customHeight="1">
      <c r="A153" s="6"/>
      <c r="B153" s="17"/>
      <c r="C153" s="6"/>
      <c r="D153" s="6"/>
      <c r="E153" s="6"/>
      <c r="F153" s="6"/>
      <c r="G153" s="6"/>
      <c r="H153" s="6"/>
      <c r="I153" s="6"/>
    </row>
    <row r="154" spans="1:9" ht="17.5" customHeight="1">
      <c r="A154" s="6"/>
      <c r="B154" s="17"/>
      <c r="C154" s="6"/>
      <c r="D154" s="6"/>
      <c r="E154" s="6"/>
      <c r="F154" s="6"/>
      <c r="G154" s="6"/>
      <c r="H154" s="6"/>
      <c r="I154" s="6"/>
    </row>
    <row r="155" spans="1:9" ht="13.75" customHeight="1">
      <c r="A155" s="6"/>
      <c r="B155" s="6"/>
      <c r="C155" s="6"/>
      <c r="D155" s="6"/>
      <c r="E155" s="6"/>
      <c r="F155" s="6"/>
      <c r="G155" s="6"/>
      <c r="H155" s="6"/>
      <c r="I155" s="6"/>
    </row>
    <row r="156" spans="1:9" ht="13.75" customHeight="1">
      <c r="A156" s="6"/>
      <c r="B156" s="6"/>
      <c r="C156" s="6"/>
      <c r="D156" s="6"/>
      <c r="E156" s="6"/>
      <c r="F156" s="6"/>
      <c r="G156" s="6"/>
      <c r="H156" s="6"/>
      <c r="I156" s="6"/>
    </row>
    <row r="157" spans="1:9" ht="13.75" customHeight="1">
      <c r="A157" s="6"/>
      <c r="B157" s="6"/>
      <c r="C157" s="6"/>
      <c r="D157" s="6"/>
      <c r="E157" s="6"/>
      <c r="F157" s="6"/>
      <c r="G157" s="6"/>
      <c r="H157" s="6"/>
      <c r="I157" s="6"/>
    </row>
    <row r="158" spans="1:9" ht="17.5" customHeight="1">
      <c r="A158" s="6"/>
      <c r="B158" s="17"/>
      <c r="C158" s="6"/>
      <c r="D158" s="6"/>
      <c r="E158" s="6"/>
      <c r="F158" s="6"/>
      <c r="G158" s="6"/>
      <c r="H158" s="6"/>
      <c r="I158" s="6"/>
    </row>
    <row r="159" spans="1:9" ht="17.5" customHeight="1">
      <c r="A159" s="6"/>
      <c r="B159" s="17"/>
      <c r="C159" s="6"/>
      <c r="D159" s="6"/>
      <c r="E159" s="6"/>
      <c r="F159" s="6"/>
      <c r="G159" s="6"/>
      <c r="H159" s="6"/>
      <c r="I159" s="6"/>
    </row>
    <row r="160" spans="1:9" ht="17.5" customHeight="1">
      <c r="A160" s="6"/>
      <c r="B160" s="17"/>
      <c r="C160" s="6"/>
      <c r="D160" s="6"/>
      <c r="E160" s="6"/>
      <c r="F160" s="6"/>
      <c r="G160" s="6"/>
      <c r="H160" s="6"/>
      <c r="I160" s="6"/>
    </row>
    <row r="161" spans="1:9" ht="13.75" customHeight="1">
      <c r="A161" s="6"/>
      <c r="B161" s="6"/>
      <c r="C161" s="6"/>
      <c r="D161" s="6"/>
      <c r="E161" s="6"/>
      <c r="F161" s="6"/>
      <c r="G161" s="6"/>
      <c r="H161" s="6"/>
      <c r="I161" s="6"/>
    </row>
    <row r="162" spans="1:9" ht="13.75" customHeight="1">
      <c r="A162" s="6"/>
      <c r="B162" s="6"/>
      <c r="C162" s="6"/>
      <c r="D162" s="6"/>
      <c r="E162" s="6"/>
      <c r="F162" s="6"/>
      <c r="G162" s="6"/>
      <c r="H162" s="6"/>
      <c r="I162" s="6"/>
    </row>
    <row r="163" spans="1:9" ht="13.75" customHeight="1">
      <c r="A163" s="6"/>
      <c r="B163" s="6"/>
      <c r="C163" s="6"/>
      <c r="D163" s="6"/>
      <c r="E163" s="6"/>
      <c r="F163" s="6"/>
      <c r="G163" s="6"/>
      <c r="H163" s="6"/>
      <c r="I163" s="6"/>
    </row>
    <row r="164" spans="1:9" ht="13.75" customHeight="1">
      <c r="A164" s="6"/>
      <c r="B164" s="6"/>
      <c r="C164" s="6"/>
      <c r="D164" s="6"/>
      <c r="E164" s="6"/>
      <c r="F164" s="6"/>
      <c r="G164" s="6"/>
      <c r="H164" s="6"/>
      <c r="I164" s="6"/>
    </row>
    <row r="165" spans="1:9" ht="13.75" customHeight="1">
      <c r="A165" s="6"/>
      <c r="B165" s="6"/>
      <c r="C165" s="6"/>
      <c r="D165" s="6"/>
      <c r="E165" s="6"/>
      <c r="F165" s="6"/>
      <c r="G165" s="6"/>
      <c r="H165" s="6"/>
      <c r="I165" s="6"/>
    </row>
    <row r="166" spans="1:9" ht="13.75" customHeight="1">
      <c r="A166" s="6"/>
      <c r="B166" s="6"/>
      <c r="C166" s="6"/>
      <c r="D166" s="6"/>
      <c r="E166" s="6"/>
      <c r="F166" s="6"/>
      <c r="G166" s="6"/>
      <c r="H166" s="6"/>
      <c r="I166" s="6"/>
    </row>
    <row r="167" spans="1:9" ht="13.75" customHeight="1">
      <c r="A167" s="6"/>
      <c r="B167" s="6"/>
      <c r="C167" s="6"/>
      <c r="D167" s="6"/>
      <c r="E167" s="6"/>
      <c r="F167" s="6"/>
      <c r="G167" s="6"/>
      <c r="H167" s="6"/>
      <c r="I167" s="6"/>
    </row>
    <row r="168" spans="1:9" ht="13.75" customHeight="1">
      <c r="A168" s="6"/>
      <c r="B168" s="6"/>
      <c r="C168" s="6"/>
      <c r="D168" s="6"/>
      <c r="E168" s="6"/>
      <c r="F168" s="6"/>
      <c r="G168" s="6"/>
      <c r="H168" s="6"/>
      <c r="I168" s="6"/>
    </row>
    <row r="169" spans="1:9" ht="13.75" customHeight="1">
      <c r="A169" s="6"/>
      <c r="B169" s="6"/>
      <c r="C169" s="6"/>
      <c r="D169" s="6"/>
      <c r="E169" s="6"/>
      <c r="F169" s="6"/>
      <c r="G169" s="6"/>
      <c r="H169" s="6"/>
      <c r="I169" s="6"/>
    </row>
    <row r="170" spans="1:9" ht="13.75" customHeight="1">
      <c r="A170" s="6"/>
      <c r="B170" s="6"/>
      <c r="C170" s="6"/>
      <c r="D170" s="6"/>
      <c r="E170" s="6"/>
      <c r="F170" s="6"/>
      <c r="G170" s="6"/>
      <c r="H170" s="6"/>
      <c r="I170" s="6"/>
    </row>
    <row r="171" spans="1:9" ht="13.75" customHeight="1">
      <c r="A171" s="6"/>
      <c r="B171" s="6"/>
      <c r="C171" s="6"/>
      <c r="D171" s="6"/>
      <c r="E171" s="6"/>
      <c r="F171" s="6"/>
      <c r="G171" s="6"/>
      <c r="H171" s="6"/>
      <c r="I171" s="6"/>
    </row>
    <row r="172" spans="1:9" ht="13.75" customHeight="1">
      <c r="A172" s="6"/>
      <c r="B172" s="6"/>
      <c r="C172" s="6"/>
      <c r="D172" s="6"/>
      <c r="E172" s="6"/>
      <c r="F172" s="6"/>
      <c r="G172" s="6"/>
      <c r="H172" s="6"/>
      <c r="I172" s="6"/>
    </row>
    <row r="173" spans="1:9" ht="13.75" customHeight="1">
      <c r="A173" s="6"/>
      <c r="B173" s="6"/>
      <c r="C173" s="6"/>
      <c r="D173" s="6"/>
      <c r="E173" s="6"/>
      <c r="F173" s="6"/>
      <c r="G173" s="6"/>
      <c r="H173" s="6"/>
      <c r="I173" s="6"/>
    </row>
    <row r="174" spans="1:9" ht="13.75" customHeight="1">
      <c r="A174" s="6"/>
      <c r="B174" s="6"/>
      <c r="C174" s="6"/>
      <c r="D174" s="6"/>
      <c r="E174" s="6"/>
      <c r="F174" s="6"/>
      <c r="G174" s="6"/>
      <c r="H174" s="6"/>
      <c r="I174" s="6"/>
    </row>
    <row r="175" spans="1:9" ht="13.75" customHeight="1">
      <c r="A175" s="6"/>
      <c r="B175" s="6"/>
      <c r="C175" s="6"/>
      <c r="D175" s="6"/>
      <c r="E175" s="6"/>
      <c r="F175" s="6"/>
      <c r="G175" s="6"/>
      <c r="H175" s="6"/>
      <c r="I175" s="6"/>
    </row>
    <row r="176" spans="1:9" ht="13.75" customHeight="1">
      <c r="A176" s="6"/>
      <c r="B176" s="6"/>
      <c r="C176" s="6"/>
      <c r="D176" s="6"/>
      <c r="E176" s="6"/>
      <c r="F176" s="6"/>
      <c r="G176" s="6"/>
      <c r="H176" s="6"/>
      <c r="I176" s="6"/>
    </row>
    <row r="177" spans="1:9" ht="13.75" customHeight="1">
      <c r="A177" s="6"/>
      <c r="B177" s="6"/>
      <c r="C177" s="6"/>
      <c r="D177" s="6"/>
      <c r="E177" s="6"/>
      <c r="F177" s="6"/>
      <c r="G177" s="6"/>
      <c r="H177" s="6"/>
      <c r="I177" s="6"/>
    </row>
    <row r="178" spans="1:9" ht="13.75" customHeight="1">
      <c r="A178" s="6"/>
      <c r="B178" s="6"/>
      <c r="C178" s="6"/>
      <c r="D178" s="6"/>
      <c r="E178" s="6"/>
      <c r="F178" s="6"/>
      <c r="G178" s="6"/>
      <c r="H178" s="6"/>
      <c r="I178" s="6"/>
    </row>
    <row r="179" spans="1:9" ht="13.75" customHeight="1">
      <c r="A179" s="6"/>
      <c r="B179" s="6"/>
      <c r="C179" s="6"/>
      <c r="D179" s="6"/>
      <c r="E179" s="6"/>
      <c r="F179" s="6"/>
      <c r="G179" s="6"/>
      <c r="H179" s="6"/>
      <c r="I179" s="6"/>
    </row>
    <row r="180" spans="1:9" ht="13.75" customHeight="1">
      <c r="A180" s="6"/>
      <c r="B180" s="6"/>
      <c r="C180" s="6"/>
      <c r="D180" s="6"/>
      <c r="E180" s="6"/>
      <c r="F180" s="6"/>
      <c r="G180" s="6"/>
      <c r="H180" s="6"/>
      <c r="I180" s="6"/>
    </row>
    <row r="181" spans="1:9" ht="13.75" customHeight="1">
      <c r="A181" s="6"/>
      <c r="B181" s="6"/>
      <c r="C181" s="6"/>
      <c r="D181" s="6"/>
      <c r="E181" s="6"/>
      <c r="F181" s="6"/>
      <c r="G181" s="6"/>
      <c r="H181" s="6"/>
      <c r="I181" s="6"/>
    </row>
    <row r="182" spans="1:9" ht="13.75" customHeight="1">
      <c r="A182" s="6"/>
      <c r="B182" s="6"/>
      <c r="C182" s="6"/>
      <c r="D182" s="6"/>
      <c r="E182" s="6"/>
      <c r="F182" s="6"/>
      <c r="G182" s="6"/>
      <c r="H182" s="6"/>
      <c r="I182" s="6"/>
    </row>
    <row r="183" spans="1:9" ht="13.75" customHeight="1">
      <c r="A183" s="6"/>
      <c r="B183" s="6"/>
      <c r="C183" s="6"/>
      <c r="D183" s="6"/>
      <c r="E183" s="6"/>
      <c r="F183" s="6"/>
      <c r="G183" s="6"/>
      <c r="H183" s="6"/>
      <c r="I183" s="6"/>
    </row>
    <row r="184" spans="1:9" ht="13.75" customHeight="1">
      <c r="A184" s="6"/>
      <c r="B184" s="6"/>
      <c r="C184" s="6"/>
      <c r="D184" s="6"/>
      <c r="E184" s="6"/>
      <c r="F184" s="6"/>
      <c r="G184" s="6"/>
      <c r="H184" s="6"/>
      <c r="I184" s="6"/>
    </row>
    <row r="185" spans="1:9" ht="13.75" customHeight="1">
      <c r="A185" s="6"/>
      <c r="B185" s="6"/>
      <c r="C185" s="6"/>
      <c r="D185" s="6"/>
      <c r="E185" s="6"/>
      <c r="F185" s="6"/>
      <c r="G185" s="6"/>
      <c r="H185" s="6"/>
      <c r="I185" s="6"/>
    </row>
    <row r="186" spans="1:9" ht="13.75" customHeight="1">
      <c r="A186" s="6"/>
      <c r="B186" s="6"/>
      <c r="C186" s="6"/>
      <c r="D186" s="6"/>
      <c r="E186" s="6"/>
      <c r="F186" s="6"/>
      <c r="G186" s="6"/>
      <c r="H186" s="6"/>
      <c r="I186" s="6"/>
    </row>
    <row r="187" spans="1:9" ht="13.75" customHeight="1">
      <c r="A187" s="6"/>
      <c r="B187" s="6"/>
      <c r="C187" s="6"/>
      <c r="D187" s="6"/>
      <c r="E187" s="6"/>
      <c r="F187" s="6"/>
      <c r="G187" s="6"/>
      <c r="H187" s="6"/>
      <c r="I187" s="6"/>
    </row>
    <row r="188" spans="1:9" ht="13.75" customHeight="1">
      <c r="A188" s="6"/>
      <c r="B188" s="6"/>
      <c r="C188" s="6"/>
      <c r="D188" s="6"/>
      <c r="E188" s="6"/>
      <c r="F188" s="6"/>
      <c r="G188" s="6"/>
      <c r="H188" s="6"/>
      <c r="I188" s="6"/>
    </row>
    <row r="189" spans="1:9" ht="13.75" customHeight="1">
      <c r="A189" s="6"/>
      <c r="B189" s="6"/>
      <c r="C189" s="6"/>
      <c r="D189" s="6"/>
      <c r="E189" s="6"/>
      <c r="F189" s="6"/>
      <c r="G189" s="6"/>
      <c r="H189" s="6"/>
      <c r="I189" s="6"/>
    </row>
    <row r="190" spans="1:9" ht="13.75" customHeight="1">
      <c r="A190" s="6"/>
      <c r="B190" s="6"/>
      <c r="C190" s="6"/>
      <c r="D190" s="6"/>
      <c r="E190" s="6"/>
      <c r="F190" s="6"/>
      <c r="G190" s="6"/>
      <c r="H190" s="6"/>
      <c r="I190" s="6"/>
    </row>
    <row r="191" spans="1:9" ht="13.75" customHeight="1">
      <c r="A191" s="6"/>
      <c r="B191" s="6"/>
      <c r="C191" s="6"/>
      <c r="D191" s="6"/>
      <c r="E191" s="6"/>
      <c r="F191" s="6"/>
      <c r="G191" s="6"/>
      <c r="H191" s="6"/>
      <c r="I191" s="6"/>
    </row>
    <row r="192" spans="1:9" ht="13.75" customHeight="1">
      <c r="A192" s="6"/>
      <c r="B192" s="6"/>
      <c r="C192" s="6"/>
      <c r="D192" s="6"/>
      <c r="E192" s="6"/>
      <c r="F192" s="6"/>
      <c r="G192" s="6"/>
      <c r="H192" s="6"/>
      <c r="I192" s="6"/>
    </row>
    <row r="193" spans="1:9" ht="13.75" customHeight="1">
      <c r="A193" s="6"/>
      <c r="B193" s="6"/>
      <c r="C193" s="6"/>
      <c r="D193" s="6"/>
      <c r="E193" s="6"/>
      <c r="F193" s="6"/>
      <c r="G193" s="6"/>
      <c r="H193" s="6"/>
      <c r="I193" s="6"/>
    </row>
    <row r="194" spans="1:9" ht="13.75" customHeight="1">
      <c r="A194" s="6"/>
      <c r="B194" s="6"/>
      <c r="C194" s="6"/>
      <c r="D194" s="6"/>
      <c r="E194" s="6"/>
      <c r="F194" s="6"/>
      <c r="G194" s="6"/>
      <c r="H194" s="6"/>
      <c r="I194" s="6"/>
    </row>
    <row r="195" spans="1:9" ht="13.75" customHeight="1">
      <c r="A195" s="6"/>
      <c r="B195" s="6"/>
      <c r="C195" s="6"/>
      <c r="D195" s="6"/>
      <c r="E195" s="6"/>
      <c r="F195" s="6"/>
      <c r="G195" s="6"/>
      <c r="H195" s="6"/>
      <c r="I195" s="6"/>
    </row>
    <row r="196" spans="1:9" ht="13.75" customHeight="1">
      <c r="A196" s="6"/>
      <c r="B196" s="6"/>
      <c r="C196" s="6"/>
      <c r="D196" s="6"/>
      <c r="E196" s="6"/>
      <c r="F196" s="6"/>
      <c r="G196" s="6"/>
      <c r="H196" s="6"/>
      <c r="I196" s="6"/>
    </row>
    <row r="197" spans="1:9" ht="13.75" customHeight="1">
      <c r="A197" s="6"/>
      <c r="B197" s="6"/>
      <c r="C197" s="6"/>
      <c r="D197" s="6"/>
      <c r="E197" s="6"/>
      <c r="F197" s="6"/>
      <c r="G197" s="6"/>
      <c r="H197" s="6"/>
      <c r="I197" s="6"/>
    </row>
    <row r="198" spans="1:9" ht="13.75" customHeight="1">
      <c r="A198" s="6"/>
      <c r="B198" s="6"/>
      <c r="C198" s="6"/>
      <c r="D198" s="6"/>
      <c r="E198" s="6"/>
      <c r="F198" s="6"/>
      <c r="G198" s="6"/>
      <c r="H198" s="6"/>
      <c r="I198" s="6"/>
    </row>
    <row r="199" spans="1:9" ht="13.75" customHeight="1">
      <c r="A199" s="6"/>
      <c r="B199" s="6"/>
      <c r="C199" s="6"/>
      <c r="D199" s="6"/>
      <c r="E199" s="6"/>
      <c r="F199" s="6"/>
      <c r="G199" s="6"/>
      <c r="H199" s="6"/>
      <c r="I199" s="6"/>
    </row>
    <row r="200" spans="1:9" ht="13.75" customHeight="1">
      <c r="A200" s="6"/>
      <c r="B200" s="6"/>
      <c r="C200" s="6"/>
      <c r="D200" s="6"/>
      <c r="E200" s="6"/>
      <c r="F200" s="6"/>
      <c r="G200" s="6"/>
      <c r="H200" s="6"/>
      <c r="I200" s="6"/>
    </row>
    <row r="201" spans="1:9" ht="13.75" customHeight="1">
      <c r="A201" s="6"/>
      <c r="B201" s="6"/>
      <c r="C201" s="6"/>
      <c r="D201" s="6"/>
      <c r="E201" s="6"/>
      <c r="F201" s="6"/>
      <c r="G201" s="6"/>
      <c r="H201" s="6"/>
      <c r="I201" s="6"/>
    </row>
    <row r="202" spans="1:9" ht="13.75" customHeight="1">
      <c r="A202" s="6"/>
      <c r="B202" s="6"/>
      <c r="C202" s="6"/>
      <c r="D202" s="6"/>
      <c r="E202" s="6"/>
      <c r="F202" s="6"/>
      <c r="G202" s="6"/>
      <c r="H202" s="6"/>
      <c r="I202" s="6"/>
    </row>
    <row r="203" spans="1:9" ht="13.75" customHeight="1">
      <c r="A203" s="6"/>
      <c r="B203" s="6"/>
      <c r="C203" s="6"/>
      <c r="D203" s="6"/>
      <c r="E203" s="6"/>
      <c r="F203" s="6"/>
      <c r="G203" s="6"/>
      <c r="H203" s="6"/>
      <c r="I203" s="6"/>
    </row>
    <row r="204" spans="1:9" ht="13.75" customHeight="1">
      <c r="A204" s="6"/>
      <c r="B204" s="6"/>
      <c r="C204" s="6"/>
      <c r="D204" s="6"/>
      <c r="E204" s="6"/>
      <c r="F204" s="6"/>
      <c r="G204" s="6"/>
      <c r="H204" s="6"/>
      <c r="I204" s="6"/>
    </row>
    <row r="205" spans="1:9" ht="13.75" customHeight="1">
      <c r="A205" s="6"/>
      <c r="B205" s="6"/>
      <c r="C205" s="6"/>
      <c r="D205" s="6"/>
      <c r="E205" s="6"/>
      <c r="F205" s="6"/>
      <c r="G205" s="6"/>
      <c r="H205" s="6"/>
      <c r="I205" s="6"/>
    </row>
    <row r="206" spans="1:9" ht="13.75" customHeight="1">
      <c r="A206" s="6"/>
      <c r="B206" s="6"/>
      <c r="C206" s="6"/>
      <c r="D206" s="6"/>
      <c r="E206" s="6"/>
      <c r="F206" s="6"/>
      <c r="G206" s="6"/>
      <c r="H206" s="6"/>
      <c r="I206" s="6"/>
    </row>
    <row r="207" spans="1:9" ht="13.75" customHeight="1">
      <c r="A207" s="6"/>
      <c r="B207" s="6"/>
      <c r="C207" s="6"/>
      <c r="D207" s="6"/>
      <c r="E207" s="6"/>
      <c r="F207" s="6"/>
      <c r="G207" s="6"/>
      <c r="H207" s="6"/>
      <c r="I207" s="6"/>
    </row>
    <row r="208" spans="1:9" ht="13.75" customHeight="1">
      <c r="A208" s="6"/>
      <c r="B208" s="6"/>
      <c r="C208" s="6"/>
      <c r="D208" s="6"/>
      <c r="E208" s="6"/>
      <c r="F208" s="6"/>
      <c r="G208" s="6"/>
      <c r="H208" s="6"/>
      <c r="I208" s="6"/>
    </row>
    <row r="209" spans="1:9" ht="13.75" customHeight="1">
      <c r="A209" s="6"/>
      <c r="B209" s="6"/>
      <c r="C209" s="6"/>
      <c r="D209" s="6"/>
      <c r="E209" s="6"/>
      <c r="F209" s="6"/>
      <c r="G209" s="6"/>
      <c r="H209" s="6"/>
      <c r="I209" s="6"/>
    </row>
    <row r="210" spans="1:9" ht="13.75" customHeight="1">
      <c r="A210" s="6"/>
      <c r="B210" s="6"/>
      <c r="C210" s="6"/>
      <c r="D210" s="6"/>
      <c r="E210" s="6"/>
      <c r="F210" s="6"/>
      <c r="G210" s="6"/>
      <c r="H210" s="6"/>
      <c r="I210" s="6"/>
    </row>
    <row r="211" spans="1:9" ht="13.75" customHeight="1">
      <c r="A211" s="6"/>
      <c r="B211" s="6"/>
      <c r="C211" s="6"/>
      <c r="D211" s="6"/>
      <c r="E211" s="6"/>
      <c r="F211" s="6"/>
      <c r="G211" s="6"/>
      <c r="H211" s="6"/>
      <c r="I211" s="6"/>
    </row>
    <row r="212" spans="1:9" ht="13.75" customHeight="1">
      <c r="A212" s="6"/>
      <c r="B212" s="6"/>
      <c r="C212" s="6"/>
      <c r="D212" s="6"/>
      <c r="E212" s="6"/>
      <c r="F212" s="6"/>
      <c r="G212" s="6"/>
      <c r="H212" s="6"/>
      <c r="I212" s="6"/>
    </row>
    <row r="213" spans="1:9" ht="13.75" customHeight="1">
      <c r="A213" s="6"/>
      <c r="B213" s="6"/>
      <c r="C213" s="6"/>
      <c r="D213" s="6"/>
      <c r="E213" s="6"/>
      <c r="F213" s="6"/>
      <c r="G213" s="6"/>
      <c r="H213" s="6"/>
      <c r="I213" s="6"/>
    </row>
    <row r="214" spans="1:9" ht="13.75" customHeight="1">
      <c r="A214" s="6"/>
      <c r="B214" s="6"/>
      <c r="C214" s="6"/>
      <c r="D214" s="6"/>
      <c r="E214" s="6"/>
      <c r="F214" s="6"/>
      <c r="G214" s="6"/>
      <c r="H214" s="6"/>
      <c r="I214" s="6"/>
    </row>
    <row r="215" spans="1:9" ht="13.75" customHeight="1">
      <c r="A215" s="6"/>
      <c r="B215" s="6"/>
      <c r="C215" s="6"/>
      <c r="D215" s="6"/>
      <c r="E215" s="6"/>
      <c r="F215" s="6"/>
      <c r="G215" s="6"/>
      <c r="H215" s="6"/>
      <c r="I215" s="6"/>
    </row>
    <row r="216" spans="1:9" ht="13.75" customHeight="1">
      <c r="A216" s="6"/>
      <c r="B216" s="6"/>
      <c r="C216" s="6"/>
      <c r="D216" s="6"/>
      <c r="E216" s="6"/>
      <c r="F216" s="6"/>
      <c r="G216" s="6"/>
      <c r="H216" s="6"/>
      <c r="I216" s="6"/>
    </row>
    <row r="217" spans="1:9" ht="13.75" customHeight="1">
      <c r="A217" s="6"/>
      <c r="B217" s="6"/>
      <c r="C217" s="6"/>
      <c r="D217" s="6"/>
      <c r="E217" s="6"/>
      <c r="F217" s="6"/>
      <c r="G217" s="6"/>
      <c r="H217" s="6"/>
      <c r="I217" s="6"/>
    </row>
    <row r="218" spans="1:9" ht="13.75" customHeight="1">
      <c r="A218" s="6"/>
      <c r="B218" s="6"/>
      <c r="C218" s="6"/>
      <c r="D218" s="6"/>
      <c r="E218" s="6"/>
      <c r="F218" s="6"/>
      <c r="G218" s="6"/>
      <c r="H218" s="6"/>
      <c r="I218" s="6"/>
    </row>
    <row r="219" spans="1:9" ht="13.75" customHeight="1">
      <c r="A219" s="6"/>
      <c r="B219" s="6"/>
      <c r="C219" s="6"/>
      <c r="D219" s="6"/>
      <c r="E219" s="6"/>
      <c r="F219" s="6"/>
      <c r="G219" s="6"/>
      <c r="H219" s="6"/>
      <c r="I219" s="6"/>
    </row>
    <row r="220" spans="1:9" ht="13.75" customHeight="1">
      <c r="A220" s="6"/>
      <c r="B220" s="6"/>
      <c r="C220" s="6"/>
      <c r="D220" s="6"/>
      <c r="E220" s="6"/>
      <c r="F220" s="6"/>
      <c r="G220" s="6"/>
      <c r="H220" s="6"/>
      <c r="I220" s="6"/>
    </row>
    <row r="221" spans="1:9" ht="13.75" customHeight="1">
      <c r="A221" s="6"/>
      <c r="B221" s="6"/>
      <c r="C221" s="6"/>
      <c r="D221" s="6"/>
      <c r="E221" s="6"/>
      <c r="F221" s="6"/>
      <c r="G221" s="6"/>
      <c r="H221" s="6"/>
      <c r="I221" s="6"/>
    </row>
    <row r="222" spans="1:9" ht="13.75" customHeight="1">
      <c r="A222" s="6"/>
      <c r="B222" s="6"/>
      <c r="C222" s="6"/>
      <c r="D222" s="6"/>
      <c r="E222" s="6"/>
      <c r="F222" s="6"/>
      <c r="G222" s="6"/>
      <c r="H222" s="6"/>
      <c r="I222" s="6"/>
    </row>
    <row r="223" spans="1:9" ht="13.75" customHeight="1">
      <c r="A223" s="6"/>
      <c r="B223" s="6"/>
      <c r="C223" s="6"/>
      <c r="D223" s="6"/>
      <c r="E223" s="6"/>
      <c r="F223" s="6"/>
      <c r="G223" s="6"/>
      <c r="H223" s="6"/>
      <c r="I223" s="6"/>
    </row>
    <row r="224" spans="1:9" ht="13.75" customHeight="1">
      <c r="A224" s="6"/>
      <c r="B224" s="6"/>
      <c r="C224" s="6"/>
      <c r="D224" s="6"/>
      <c r="E224" s="6"/>
      <c r="F224" s="6"/>
      <c r="G224" s="6"/>
      <c r="H224" s="6"/>
      <c r="I224" s="6"/>
    </row>
    <row r="225" spans="1:9" ht="13.75" customHeight="1">
      <c r="A225" s="6"/>
      <c r="B225" s="6"/>
      <c r="C225" s="6"/>
      <c r="D225" s="6"/>
      <c r="E225" s="6"/>
      <c r="F225" s="6"/>
      <c r="G225" s="6"/>
      <c r="H225" s="6"/>
      <c r="I225" s="6"/>
    </row>
    <row r="226" spans="1:9" ht="13.75" customHeight="1">
      <c r="A226" s="6"/>
      <c r="B226" s="6"/>
      <c r="C226" s="6"/>
      <c r="D226" s="6"/>
      <c r="E226" s="6"/>
      <c r="F226" s="6"/>
      <c r="G226" s="6"/>
      <c r="H226" s="6"/>
      <c r="I226" s="6"/>
    </row>
    <row r="227" spans="1:9" ht="13.75" customHeight="1">
      <c r="A227" s="6"/>
      <c r="B227" s="6"/>
      <c r="C227" s="6"/>
      <c r="D227" s="6"/>
      <c r="E227" s="6"/>
      <c r="F227" s="6"/>
      <c r="G227" s="6"/>
      <c r="H227" s="6"/>
      <c r="I227" s="6"/>
    </row>
    <row r="228" spans="1:9" ht="13.75" customHeight="1">
      <c r="A228" s="6"/>
      <c r="B228" s="6"/>
      <c r="C228" s="6"/>
      <c r="D228" s="6"/>
      <c r="E228" s="6"/>
      <c r="F228" s="6"/>
      <c r="G228" s="6"/>
      <c r="H228" s="6"/>
      <c r="I228" s="6"/>
    </row>
    <row r="229" spans="1:9" ht="13.75" customHeight="1">
      <c r="A229" s="6"/>
      <c r="B229" s="6"/>
      <c r="C229" s="6"/>
      <c r="D229" s="6"/>
      <c r="E229" s="6"/>
      <c r="F229" s="6"/>
      <c r="G229" s="6"/>
      <c r="H229" s="6"/>
      <c r="I229" s="6"/>
    </row>
    <row r="230" spans="1:9" ht="13.75" customHeight="1">
      <c r="A230" s="6"/>
      <c r="B230" s="6"/>
      <c r="C230" s="6"/>
      <c r="D230" s="6"/>
      <c r="E230" s="6"/>
      <c r="F230" s="6"/>
      <c r="G230" s="6"/>
      <c r="H230" s="6"/>
      <c r="I230" s="6"/>
    </row>
    <row r="231" spans="1:9" ht="13.75" customHeight="1">
      <c r="A231" s="6"/>
      <c r="B231" s="6"/>
      <c r="C231" s="6"/>
      <c r="D231" s="6"/>
      <c r="E231" s="6"/>
      <c r="F231" s="6"/>
      <c r="G231" s="6"/>
      <c r="H231" s="6"/>
      <c r="I231" s="6"/>
    </row>
    <row r="232" spans="1:9" ht="13.75" customHeight="1">
      <c r="A232" s="6"/>
      <c r="B232" s="6"/>
      <c r="C232" s="6"/>
      <c r="D232" s="6"/>
      <c r="E232" s="6"/>
      <c r="F232" s="6"/>
      <c r="G232" s="6"/>
      <c r="H232" s="6"/>
      <c r="I232" s="6"/>
    </row>
    <row r="233" spans="1:9" ht="13.75" customHeight="1">
      <c r="A233" s="6"/>
      <c r="B233" s="6"/>
      <c r="C233" s="6"/>
      <c r="D233" s="6"/>
      <c r="E233" s="6"/>
      <c r="F233" s="6"/>
      <c r="G233" s="6"/>
      <c r="H233" s="6"/>
      <c r="I233" s="6"/>
    </row>
    <row r="234" spans="1:9" ht="13.75" customHeight="1">
      <c r="A234" s="6"/>
      <c r="B234" s="6"/>
      <c r="C234" s="6"/>
      <c r="D234" s="6"/>
      <c r="E234" s="6"/>
      <c r="F234" s="6"/>
      <c r="G234" s="6"/>
      <c r="H234" s="6"/>
      <c r="I234" s="6"/>
    </row>
    <row r="235" spans="1:9" ht="13.75" customHeight="1">
      <c r="A235" s="6"/>
      <c r="B235" s="6"/>
      <c r="C235" s="6"/>
      <c r="D235" s="6"/>
      <c r="E235" s="6"/>
      <c r="F235" s="6"/>
      <c r="G235" s="6"/>
      <c r="H235" s="6"/>
      <c r="I235" s="6"/>
    </row>
    <row r="236" spans="1:9" ht="13.75" customHeight="1">
      <c r="A236" s="6"/>
      <c r="B236" s="6"/>
      <c r="C236" s="6"/>
      <c r="D236" s="6"/>
      <c r="E236" s="6"/>
      <c r="F236" s="6"/>
      <c r="G236" s="6"/>
      <c r="H236" s="6"/>
      <c r="I236" s="6"/>
    </row>
    <row r="237" spans="1:9" ht="13.75" customHeight="1">
      <c r="A237" s="6"/>
      <c r="B237" s="6"/>
      <c r="C237" s="6"/>
      <c r="D237" s="6"/>
      <c r="E237" s="6"/>
      <c r="F237" s="6"/>
      <c r="G237" s="6"/>
      <c r="H237" s="6"/>
      <c r="I237" s="6"/>
    </row>
    <row r="238" spans="1:9" ht="13.75" customHeight="1">
      <c r="A238" s="6"/>
      <c r="B238" s="6"/>
      <c r="C238" s="6"/>
      <c r="D238" s="6"/>
      <c r="E238" s="6"/>
      <c r="F238" s="6"/>
      <c r="G238" s="6"/>
      <c r="H238" s="6"/>
      <c r="I238" s="6"/>
    </row>
    <row r="239" spans="1:9" ht="13.75" customHeight="1">
      <c r="A239" s="6"/>
      <c r="B239" s="6"/>
      <c r="C239" s="6"/>
      <c r="D239" s="6"/>
      <c r="E239" s="6"/>
      <c r="F239" s="6"/>
      <c r="G239" s="6"/>
      <c r="H239" s="6"/>
      <c r="I239" s="6"/>
    </row>
    <row r="240" spans="1:9" ht="13.75" customHeight="1">
      <c r="A240" s="6"/>
      <c r="B240" s="6"/>
      <c r="C240" s="6"/>
      <c r="D240" s="6"/>
      <c r="E240" s="6"/>
      <c r="F240" s="6"/>
      <c r="G240" s="6"/>
      <c r="H240" s="6"/>
      <c r="I240" s="6"/>
    </row>
    <row r="241" spans="1:9" ht="13.75" customHeight="1">
      <c r="A241" s="6"/>
      <c r="B241" s="6"/>
      <c r="C241" s="6"/>
      <c r="D241" s="6"/>
      <c r="E241" s="6"/>
      <c r="F241" s="6"/>
      <c r="G241" s="6"/>
      <c r="H241" s="6"/>
      <c r="I241" s="6"/>
    </row>
    <row r="242" spans="1:9" ht="13.75" customHeight="1">
      <c r="A242" s="6"/>
      <c r="B242" s="6"/>
      <c r="C242" s="6"/>
      <c r="D242" s="6"/>
      <c r="E242" s="6"/>
      <c r="F242" s="6"/>
      <c r="G242" s="6"/>
      <c r="H242" s="6"/>
      <c r="I242" s="6"/>
    </row>
    <row r="243" spans="1:9" ht="13.75" customHeight="1">
      <c r="A243" s="6"/>
      <c r="B243" s="6"/>
      <c r="C243" s="6"/>
      <c r="D243" s="6"/>
      <c r="E243" s="6"/>
      <c r="F243" s="6"/>
      <c r="G243" s="6"/>
      <c r="H243" s="6"/>
      <c r="I243" s="6"/>
    </row>
    <row r="244" spans="1:9" ht="13.75" customHeight="1">
      <c r="A244" s="6"/>
      <c r="B244" s="6"/>
      <c r="C244" s="6"/>
      <c r="D244" s="6"/>
      <c r="E244" s="6"/>
      <c r="F244" s="6"/>
      <c r="G244" s="6"/>
      <c r="H244" s="6"/>
      <c r="I244" s="6"/>
    </row>
    <row r="245" spans="1:9" ht="13.75" customHeight="1">
      <c r="A245" s="6"/>
      <c r="B245" s="6"/>
      <c r="C245" s="6"/>
      <c r="D245" s="6"/>
      <c r="E245" s="6"/>
      <c r="F245" s="6"/>
      <c r="G245" s="6"/>
      <c r="H245" s="6"/>
      <c r="I245" s="6"/>
    </row>
    <row r="246" spans="1:9" ht="13.75" customHeight="1">
      <c r="A246" s="6"/>
      <c r="B246" s="6"/>
      <c r="C246" s="6"/>
      <c r="D246" s="6"/>
      <c r="E246" s="6"/>
      <c r="F246" s="6"/>
      <c r="G246" s="6"/>
      <c r="H246" s="6"/>
      <c r="I246" s="6"/>
    </row>
    <row r="247" spans="1:9" ht="13.75" customHeight="1">
      <c r="A247" s="6"/>
      <c r="B247" s="6"/>
      <c r="C247" s="6"/>
      <c r="D247" s="6"/>
      <c r="E247" s="6"/>
      <c r="F247" s="6"/>
      <c r="G247" s="6"/>
      <c r="H247" s="6"/>
      <c r="I247" s="6"/>
    </row>
    <row r="248" spans="1:9" ht="13.75" customHeight="1">
      <c r="A248" s="6"/>
      <c r="B248" s="6"/>
      <c r="C248" s="6"/>
      <c r="D248" s="6"/>
      <c r="E248" s="6"/>
      <c r="F248" s="6"/>
      <c r="G248" s="6"/>
      <c r="H248" s="6"/>
      <c r="I248" s="6"/>
    </row>
    <row r="249" spans="1:9" ht="13.75" customHeight="1">
      <c r="A249" s="6"/>
      <c r="B249" s="6"/>
      <c r="C249" s="6"/>
      <c r="D249" s="6"/>
      <c r="E249" s="6"/>
      <c r="F249" s="6"/>
      <c r="G249" s="6"/>
      <c r="H249" s="6"/>
      <c r="I249" s="6"/>
    </row>
    <row r="250" spans="1:9" ht="13.75" customHeight="1">
      <c r="A250" s="6"/>
      <c r="B250" s="6"/>
      <c r="C250" s="6"/>
      <c r="D250" s="6"/>
      <c r="E250" s="6"/>
      <c r="F250" s="6"/>
      <c r="G250" s="6"/>
      <c r="H250" s="6"/>
      <c r="I250" s="6"/>
    </row>
    <row r="251" spans="1:9" ht="13.75" customHeight="1">
      <c r="A251" s="6"/>
      <c r="B251" s="6"/>
      <c r="C251" s="6"/>
      <c r="D251" s="6"/>
      <c r="E251" s="6"/>
      <c r="F251" s="6"/>
      <c r="G251" s="6"/>
      <c r="H251" s="6"/>
      <c r="I251" s="6"/>
    </row>
    <row r="252" spans="1:9" ht="13.75" customHeight="1">
      <c r="A252" s="6"/>
      <c r="B252" s="6"/>
      <c r="C252" s="6"/>
      <c r="D252" s="6"/>
      <c r="E252" s="6"/>
      <c r="F252" s="6"/>
      <c r="G252" s="6"/>
      <c r="H252" s="6"/>
      <c r="I252" s="6"/>
    </row>
    <row r="253" spans="1:9" ht="13.75" customHeight="1">
      <c r="A253" s="6"/>
      <c r="B253" s="6"/>
      <c r="C253" s="6"/>
      <c r="D253" s="6"/>
      <c r="E253" s="6"/>
      <c r="F253" s="6"/>
      <c r="G253" s="6"/>
      <c r="H253" s="6"/>
      <c r="I253" s="6"/>
    </row>
    <row r="254" spans="1:9" ht="13.75" customHeight="1">
      <c r="A254" s="6"/>
      <c r="B254" s="6"/>
      <c r="C254" s="6"/>
      <c r="D254" s="6"/>
      <c r="E254" s="6"/>
      <c r="F254" s="6"/>
      <c r="G254" s="6"/>
      <c r="H254" s="6"/>
      <c r="I254" s="6"/>
    </row>
    <row r="255" spans="1:9" ht="13.75" customHeight="1">
      <c r="A255" s="6"/>
      <c r="B255" s="6"/>
      <c r="C255" s="6"/>
      <c r="D255" s="6"/>
      <c r="E255" s="6"/>
      <c r="F255" s="6"/>
      <c r="G255" s="6"/>
      <c r="H255" s="6"/>
      <c r="I255" s="6"/>
    </row>
    <row r="256" spans="1:9" ht="13.75" customHeight="1">
      <c r="A256" s="6"/>
      <c r="B256" s="6"/>
      <c r="C256" s="6"/>
      <c r="D256" s="6"/>
      <c r="E256" s="6"/>
      <c r="F256" s="6"/>
      <c r="G256" s="6"/>
      <c r="H256" s="6"/>
      <c r="I256" s="6"/>
    </row>
    <row r="257" spans="1:9" ht="13.75" customHeight="1">
      <c r="A257" s="6"/>
      <c r="B257" s="6"/>
      <c r="C257" s="6"/>
      <c r="D257" s="6"/>
      <c r="E257" s="6"/>
      <c r="F257" s="6"/>
      <c r="G257" s="6"/>
      <c r="H257" s="6"/>
      <c r="I257" s="6"/>
    </row>
    <row r="258" spans="1:9" ht="13.75" customHeight="1">
      <c r="A258" s="6"/>
      <c r="B258" s="6"/>
      <c r="C258" s="6"/>
      <c r="D258" s="6"/>
      <c r="E258" s="6"/>
      <c r="F258" s="6"/>
      <c r="G258" s="6"/>
      <c r="H258" s="6"/>
      <c r="I258" s="6"/>
    </row>
    <row r="259" spans="1:9" ht="13.75" customHeight="1">
      <c r="A259" s="6"/>
      <c r="B259" s="6"/>
      <c r="C259" s="6"/>
      <c r="D259" s="6"/>
      <c r="E259" s="6"/>
      <c r="F259" s="6"/>
      <c r="G259" s="6"/>
      <c r="H259" s="6"/>
      <c r="I259" s="6"/>
    </row>
    <row r="260" spans="1:9" ht="13.75" customHeight="1">
      <c r="A260" s="6"/>
      <c r="B260" s="6"/>
      <c r="C260" s="6"/>
      <c r="D260" s="6"/>
      <c r="E260" s="6"/>
      <c r="F260" s="6"/>
      <c r="G260" s="6"/>
      <c r="H260" s="6"/>
      <c r="I260" s="6"/>
    </row>
    <row r="261" spans="1:9" ht="13.75" customHeight="1">
      <c r="A261" s="6"/>
      <c r="B261" s="6"/>
      <c r="C261" s="6"/>
      <c r="D261" s="6"/>
      <c r="E261" s="6"/>
      <c r="F261" s="6"/>
      <c r="G261" s="6"/>
      <c r="H261" s="6"/>
      <c r="I261" s="6"/>
    </row>
    <row r="262" spans="1:9" ht="13.75" customHeight="1">
      <c r="A262" s="6"/>
      <c r="B262" s="6"/>
      <c r="C262" s="6"/>
      <c r="D262" s="6"/>
      <c r="E262" s="6"/>
      <c r="F262" s="6"/>
      <c r="G262" s="6"/>
      <c r="H262" s="6"/>
      <c r="I262" s="6"/>
    </row>
    <row r="263" spans="1:9" ht="13.75" customHeight="1">
      <c r="A263" s="6"/>
      <c r="B263" s="6"/>
      <c r="C263" s="6"/>
      <c r="D263" s="6"/>
      <c r="E263" s="6"/>
      <c r="F263" s="6"/>
      <c r="G263" s="6"/>
      <c r="H263" s="6"/>
      <c r="I263" s="6"/>
    </row>
    <row r="264" spans="1:9" ht="13.75" customHeight="1">
      <c r="A264" s="6"/>
      <c r="B264" s="6"/>
      <c r="C264" s="6"/>
      <c r="D264" s="6"/>
      <c r="E264" s="6"/>
      <c r="F264" s="6"/>
      <c r="G264" s="6"/>
      <c r="H264" s="6"/>
      <c r="I264" s="6"/>
    </row>
    <row r="265" spans="1:9" ht="13.75" customHeight="1">
      <c r="A265" s="6"/>
      <c r="B265" s="6"/>
      <c r="C265" s="6"/>
      <c r="D265" s="6"/>
      <c r="E265" s="6"/>
      <c r="F265" s="6"/>
      <c r="G265" s="6"/>
      <c r="H265" s="6"/>
      <c r="I265" s="6"/>
    </row>
    <row r="266" spans="1:9" ht="13.75" customHeight="1">
      <c r="A266" s="6"/>
      <c r="B266" s="6"/>
      <c r="C266" s="6"/>
      <c r="D266" s="6"/>
      <c r="E266" s="6"/>
      <c r="F266" s="6"/>
      <c r="G266" s="6"/>
      <c r="H266" s="6"/>
      <c r="I266" s="6"/>
    </row>
    <row r="267" spans="1:9" ht="13.75" customHeight="1">
      <c r="A267" s="6"/>
      <c r="B267" s="6"/>
      <c r="C267" s="6"/>
      <c r="D267" s="6"/>
      <c r="E267" s="6"/>
      <c r="F267" s="6"/>
      <c r="G267" s="6"/>
      <c r="H267" s="6"/>
      <c r="I267" s="6"/>
    </row>
    <row r="268" spans="1:9" ht="13.75" customHeight="1">
      <c r="A268" s="6"/>
      <c r="B268" s="6"/>
      <c r="C268" s="6"/>
      <c r="D268" s="6"/>
      <c r="E268" s="6"/>
      <c r="F268" s="6"/>
      <c r="G268" s="6"/>
      <c r="H268" s="6"/>
      <c r="I268" s="6"/>
    </row>
    <row r="269" spans="1:9" ht="13.75" customHeight="1">
      <c r="A269" s="6"/>
      <c r="B269" s="6"/>
      <c r="C269" s="6"/>
      <c r="D269" s="6"/>
      <c r="E269" s="6"/>
      <c r="F269" s="6"/>
      <c r="G269" s="6"/>
      <c r="H269" s="6"/>
      <c r="I269" s="6"/>
    </row>
    <row r="270" spans="1:9" ht="13.75" customHeight="1">
      <c r="A270" s="6"/>
      <c r="B270" s="6"/>
      <c r="C270" s="6"/>
      <c r="D270" s="6"/>
      <c r="E270" s="6"/>
      <c r="F270" s="6"/>
      <c r="G270" s="6"/>
      <c r="H270" s="6"/>
      <c r="I270" s="6"/>
    </row>
    <row r="271" spans="1:9" ht="13.75" customHeight="1">
      <c r="A271" s="6"/>
      <c r="B271" s="6"/>
      <c r="C271" s="6"/>
      <c r="D271" s="6"/>
      <c r="E271" s="6"/>
      <c r="F271" s="6"/>
      <c r="G271" s="6"/>
      <c r="H271" s="6"/>
      <c r="I271" s="6"/>
    </row>
    <row r="272" spans="1:9" ht="13.75" customHeight="1">
      <c r="A272" s="6"/>
      <c r="B272" s="6"/>
      <c r="C272" s="6"/>
      <c r="D272" s="6"/>
      <c r="E272" s="6"/>
      <c r="F272" s="6"/>
      <c r="G272" s="6"/>
      <c r="H272" s="6"/>
      <c r="I272" s="6"/>
    </row>
    <row r="273" spans="1:9" ht="13.75" customHeight="1">
      <c r="A273" s="6"/>
      <c r="B273" s="6"/>
      <c r="C273" s="6"/>
      <c r="D273" s="6"/>
      <c r="E273" s="6"/>
      <c r="F273" s="6"/>
      <c r="G273" s="6"/>
      <c r="H273" s="6"/>
      <c r="I273" s="6"/>
    </row>
    <row r="274" spans="1:9" ht="13.75" customHeight="1">
      <c r="A274" s="6"/>
      <c r="B274" s="6"/>
      <c r="C274" s="6"/>
      <c r="D274" s="6"/>
      <c r="E274" s="6"/>
      <c r="F274" s="6"/>
      <c r="G274" s="6"/>
      <c r="H274" s="6"/>
      <c r="I274" s="6"/>
    </row>
    <row r="275" spans="1:9" ht="13.75" customHeight="1">
      <c r="A275" s="6"/>
      <c r="B275" s="6"/>
      <c r="C275" s="6"/>
      <c r="D275" s="6"/>
      <c r="E275" s="6"/>
      <c r="F275" s="6"/>
      <c r="G275" s="6"/>
      <c r="H275" s="6"/>
      <c r="I275" s="6"/>
    </row>
    <row r="276" spans="1:9" ht="13.75" customHeight="1">
      <c r="A276" s="6"/>
      <c r="B276" s="6"/>
      <c r="C276" s="6"/>
      <c r="D276" s="6"/>
      <c r="E276" s="6"/>
      <c r="F276" s="6"/>
      <c r="G276" s="6"/>
      <c r="H276" s="6"/>
      <c r="I276" s="6"/>
    </row>
    <row r="277" spans="1:9" ht="13.75" customHeight="1">
      <c r="A277" s="6"/>
      <c r="B277" s="6"/>
      <c r="C277" s="6"/>
      <c r="D277" s="6"/>
      <c r="E277" s="6"/>
      <c r="F277" s="6"/>
      <c r="G277" s="6"/>
      <c r="H277" s="6"/>
      <c r="I277" s="6"/>
    </row>
    <row r="278" spans="1:9" ht="13.75" customHeight="1">
      <c r="A278" s="6"/>
      <c r="B278" s="6"/>
      <c r="C278" s="6"/>
      <c r="D278" s="6"/>
      <c r="E278" s="6"/>
      <c r="F278" s="6"/>
      <c r="G278" s="6"/>
      <c r="H278" s="6"/>
      <c r="I278" s="6"/>
    </row>
    <row r="279" spans="1:9" ht="13.75" customHeight="1">
      <c r="A279" s="6"/>
      <c r="B279" s="6"/>
      <c r="C279" s="6"/>
      <c r="D279" s="6"/>
      <c r="E279" s="6"/>
      <c r="F279" s="6"/>
      <c r="G279" s="6"/>
      <c r="H279" s="6"/>
      <c r="I279" s="6"/>
    </row>
    <row r="280" spans="1:9" ht="13.75" customHeight="1">
      <c r="A280" s="6"/>
      <c r="B280" s="6"/>
      <c r="C280" s="6"/>
      <c r="D280" s="6"/>
      <c r="E280" s="6"/>
      <c r="F280" s="6"/>
      <c r="G280" s="6"/>
      <c r="H280" s="6"/>
      <c r="I280" s="6"/>
    </row>
    <row r="281" spans="1:9" ht="13.75" customHeight="1">
      <c r="A281" s="6"/>
      <c r="B281" s="6"/>
      <c r="C281" s="6"/>
      <c r="D281" s="6"/>
      <c r="E281" s="6"/>
      <c r="F281" s="6"/>
      <c r="G281" s="6"/>
      <c r="H281" s="6"/>
      <c r="I281" s="6"/>
    </row>
    <row r="282" spans="1:9" ht="13.75" customHeight="1">
      <c r="A282" s="6"/>
      <c r="B282" s="6"/>
      <c r="C282" s="6"/>
      <c r="D282" s="6"/>
      <c r="E282" s="6"/>
      <c r="F282" s="6"/>
      <c r="G282" s="6"/>
      <c r="H282" s="6"/>
      <c r="I282" s="6"/>
    </row>
    <row r="283" spans="1:9" ht="13.75" customHeight="1">
      <c r="A283" s="6"/>
      <c r="B283" s="6"/>
      <c r="C283" s="6"/>
      <c r="D283" s="6"/>
      <c r="E283" s="6"/>
      <c r="F283" s="6"/>
      <c r="G283" s="6"/>
      <c r="H283" s="6"/>
      <c r="I283" s="6"/>
    </row>
    <row r="284" spans="1:9" ht="13.75" customHeight="1">
      <c r="A284" s="6"/>
      <c r="B284" s="6"/>
      <c r="C284" s="6"/>
      <c r="D284" s="6"/>
      <c r="E284" s="6"/>
      <c r="F284" s="6"/>
      <c r="G284" s="6"/>
      <c r="H284" s="6"/>
      <c r="I284" s="6"/>
    </row>
    <row r="285" spans="1:9" ht="13.75" customHeight="1">
      <c r="A285" s="6"/>
      <c r="B285" s="6"/>
      <c r="C285" s="6"/>
      <c r="D285" s="6"/>
      <c r="E285" s="6"/>
      <c r="F285" s="6"/>
      <c r="G285" s="6"/>
      <c r="H285" s="6"/>
      <c r="I285" s="6"/>
    </row>
    <row r="286" spans="1:9" ht="13.75" customHeight="1">
      <c r="A286" s="6"/>
      <c r="B286" s="6"/>
      <c r="C286" s="6"/>
      <c r="D286" s="6"/>
      <c r="E286" s="6"/>
      <c r="F286" s="6"/>
      <c r="G286" s="6"/>
      <c r="H286" s="6"/>
      <c r="I286" s="6"/>
    </row>
    <row r="287" spans="1:9" ht="13.75" customHeight="1">
      <c r="A287" s="6"/>
      <c r="B287" s="6"/>
      <c r="C287" s="6"/>
      <c r="D287" s="6"/>
      <c r="E287" s="6"/>
      <c r="F287" s="6"/>
      <c r="G287" s="6"/>
      <c r="H287" s="6"/>
      <c r="I287" s="6"/>
    </row>
    <row r="288" spans="1:9" ht="13.75" customHeight="1">
      <c r="A288" s="6"/>
      <c r="B288" s="6"/>
      <c r="C288" s="6"/>
      <c r="D288" s="6"/>
      <c r="E288" s="6"/>
      <c r="F288" s="6"/>
      <c r="G288" s="6"/>
      <c r="H288" s="6"/>
      <c r="I288" s="6"/>
    </row>
    <row r="289" spans="1:9" ht="13.75" customHeight="1">
      <c r="A289" s="6"/>
      <c r="B289" s="6"/>
      <c r="C289" s="6"/>
      <c r="D289" s="6"/>
      <c r="E289" s="6"/>
      <c r="F289" s="6"/>
      <c r="G289" s="6"/>
      <c r="H289" s="6"/>
      <c r="I289" s="6"/>
    </row>
    <row r="290" spans="1:9" ht="13.75" customHeight="1">
      <c r="A290" s="6"/>
      <c r="B290" s="6"/>
      <c r="C290" s="6"/>
      <c r="D290" s="6"/>
      <c r="E290" s="6"/>
      <c r="F290" s="6"/>
      <c r="G290" s="6"/>
      <c r="H290" s="6"/>
      <c r="I290" s="6"/>
    </row>
    <row r="291" spans="1:9" ht="13.75" customHeight="1">
      <c r="A291" s="6"/>
      <c r="B291" s="6"/>
      <c r="C291" s="6"/>
      <c r="D291" s="6"/>
      <c r="E291" s="6"/>
      <c r="F291" s="6"/>
      <c r="G291" s="6"/>
      <c r="H291" s="6"/>
      <c r="I291" s="6"/>
    </row>
    <row r="292" spans="1:9" ht="13.75" customHeight="1">
      <c r="A292" s="6"/>
      <c r="B292" s="6"/>
      <c r="C292" s="6"/>
      <c r="D292" s="6"/>
      <c r="E292" s="6"/>
      <c r="F292" s="6"/>
      <c r="G292" s="6"/>
      <c r="H292" s="6"/>
      <c r="I292" s="6"/>
    </row>
    <row r="293" spans="1:9" ht="13.75" customHeight="1">
      <c r="A293" s="6"/>
      <c r="B293" s="6"/>
      <c r="C293" s="6"/>
      <c r="D293" s="6"/>
      <c r="E293" s="6"/>
      <c r="F293" s="6"/>
      <c r="G293" s="6"/>
      <c r="H293" s="6"/>
      <c r="I293" s="6"/>
    </row>
    <row r="294" spans="1:9" ht="13.75" customHeight="1">
      <c r="A294" s="6"/>
      <c r="B294" s="6"/>
      <c r="C294" s="6"/>
      <c r="D294" s="6"/>
      <c r="E294" s="6"/>
      <c r="F294" s="6"/>
      <c r="G294" s="6"/>
      <c r="H294" s="6"/>
      <c r="I294" s="6"/>
    </row>
    <row r="295" spans="1:9" ht="13.75" customHeight="1">
      <c r="A295" s="6"/>
      <c r="B295" s="6"/>
      <c r="C295" s="6"/>
      <c r="D295" s="6"/>
      <c r="E295" s="6"/>
      <c r="F295" s="6"/>
      <c r="G295" s="6"/>
      <c r="H295" s="6"/>
      <c r="I295" s="6"/>
    </row>
    <row r="296" spans="1:9" ht="13.75" customHeight="1">
      <c r="A296" s="6"/>
      <c r="B296" s="6"/>
      <c r="C296" s="6"/>
      <c r="D296" s="6"/>
      <c r="E296" s="6"/>
      <c r="F296" s="6"/>
      <c r="G296" s="6"/>
      <c r="H296" s="6"/>
      <c r="I296" s="6"/>
    </row>
    <row r="297" spans="1:9" ht="13.75" customHeight="1">
      <c r="A297" s="6"/>
      <c r="B297" s="6"/>
      <c r="C297" s="6"/>
      <c r="D297" s="6"/>
      <c r="E297" s="6"/>
      <c r="F297" s="6"/>
      <c r="G297" s="6"/>
      <c r="H297" s="6"/>
      <c r="I297" s="6"/>
    </row>
    <row r="298" spans="1:9" ht="13.75" customHeight="1">
      <c r="A298" s="6"/>
      <c r="B298" s="6"/>
      <c r="C298" s="6"/>
      <c r="D298" s="6"/>
      <c r="E298" s="6"/>
      <c r="F298" s="6"/>
      <c r="G298" s="6"/>
      <c r="H298" s="6"/>
      <c r="I298" s="6"/>
    </row>
    <row r="299" spans="1:9" ht="13.75" customHeight="1">
      <c r="A299" s="6"/>
      <c r="B299" s="6"/>
      <c r="C299" s="6"/>
      <c r="D299" s="6"/>
      <c r="E299" s="6"/>
      <c r="F299" s="6"/>
      <c r="G299" s="6"/>
      <c r="H299" s="6"/>
      <c r="I299" s="6"/>
    </row>
    <row r="300" spans="1:9" ht="13.75" customHeight="1">
      <c r="A300" s="6"/>
      <c r="B300" s="6"/>
      <c r="C300" s="6"/>
      <c r="D300" s="6"/>
      <c r="E300" s="6"/>
      <c r="F300" s="6"/>
      <c r="G300" s="6"/>
      <c r="H300" s="6"/>
      <c r="I300" s="6"/>
    </row>
    <row r="301" spans="1:9" ht="13.75" customHeight="1">
      <c r="A301" s="6"/>
      <c r="B301" s="6"/>
      <c r="C301" s="6"/>
      <c r="D301" s="6"/>
      <c r="E301" s="6"/>
      <c r="F301" s="6"/>
      <c r="G301" s="6"/>
      <c r="H301" s="6"/>
      <c r="I301" s="6"/>
    </row>
    <row r="302" spans="1:9" ht="13.75" customHeight="1">
      <c r="A302" s="6"/>
      <c r="B302" s="6"/>
      <c r="C302" s="6"/>
      <c r="D302" s="6"/>
      <c r="E302" s="6"/>
      <c r="F302" s="6"/>
      <c r="G302" s="6"/>
      <c r="H302" s="6"/>
      <c r="I302" s="6"/>
    </row>
    <row r="303" spans="1:9" ht="13.75" customHeight="1">
      <c r="A303" s="6"/>
      <c r="B303" s="6"/>
      <c r="C303" s="6"/>
      <c r="D303" s="6"/>
      <c r="E303" s="6"/>
      <c r="F303" s="6"/>
      <c r="G303" s="6"/>
      <c r="H303" s="6"/>
      <c r="I303" s="6"/>
    </row>
    <row r="304" spans="1:9" ht="13.75" customHeight="1">
      <c r="A304" s="6"/>
      <c r="B304" s="6"/>
      <c r="C304" s="6"/>
      <c r="D304" s="6"/>
      <c r="E304" s="6"/>
      <c r="F304" s="6"/>
      <c r="G304" s="6"/>
      <c r="H304" s="6"/>
      <c r="I304" s="6"/>
    </row>
    <row r="305" spans="1:9" ht="13.75" customHeight="1">
      <c r="A305" s="6"/>
      <c r="B305" s="6"/>
      <c r="C305" s="6"/>
      <c r="D305" s="6"/>
      <c r="E305" s="6"/>
      <c r="F305" s="6"/>
      <c r="G305" s="6"/>
      <c r="H305" s="6"/>
      <c r="I305" s="6"/>
    </row>
    <row r="306" spans="1:9" ht="13.75" customHeight="1">
      <c r="A306" s="6"/>
      <c r="B306" s="6"/>
      <c r="C306" s="6"/>
      <c r="D306" s="6"/>
      <c r="E306" s="6"/>
      <c r="F306" s="6"/>
      <c r="G306" s="6"/>
      <c r="H306" s="6"/>
      <c r="I306" s="6"/>
    </row>
    <row r="307" spans="1:9" ht="13.75" customHeight="1">
      <c r="A307" s="6"/>
      <c r="B307" s="6"/>
      <c r="C307" s="6"/>
      <c r="D307" s="6"/>
      <c r="E307" s="6"/>
      <c r="F307" s="6"/>
      <c r="G307" s="6"/>
      <c r="H307" s="6"/>
      <c r="I307" s="6"/>
    </row>
    <row r="308" spans="1:9" ht="13.75" customHeight="1">
      <c r="A308" s="6"/>
      <c r="B308" s="6"/>
      <c r="C308" s="6"/>
      <c r="D308" s="6"/>
      <c r="E308" s="6"/>
      <c r="F308" s="6"/>
      <c r="G308" s="6"/>
      <c r="H308" s="6"/>
      <c r="I308" s="6"/>
    </row>
    <row r="309" spans="1:9" ht="13.75" customHeight="1">
      <c r="A309" s="6"/>
      <c r="B309" s="6"/>
      <c r="C309" s="6"/>
      <c r="D309" s="6"/>
      <c r="E309" s="6"/>
      <c r="F309" s="6"/>
      <c r="G309" s="6"/>
      <c r="H309" s="6"/>
      <c r="I309" s="6"/>
    </row>
    <row r="310" spans="1:9" ht="13.75" customHeight="1">
      <c r="A310" s="6"/>
      <c r="B310" s="6"/>
      <c r="C310" s="6"/>
      <c r="D310" s="6"/>
      <c r="E310" s="6"/>
      <c r="F310" s="6"/>
      <c r="G310" s="6"/>
      <c r="H310" s="6"/>
      <c r="I310" s="6"/>
    </row>
    <row r="311" spans="1:9" ht="13.75" customHeight="1">
      <c r="A311" s="6"/>
      <c r="B311" s="6"/>
      <c r="C311" s="6"/>
      <c r="D311" s="6"/>
      <c r="E311" s="6"/>
      <c r="F311" s="6"/>
      <c r="G311" s="6"/>
      <c r="H311" s="6"/>
      <c r="I311" s="6"/>
    </row>
    <row r="312" spans="1:9" ht="13.75" customHeight="1">
      <c r="A312" s="6"/>
      <c r="B312" s="6"/>
      <c r="C312" s="6"/>
      <c r="D312" s="6"/>
      <c r="E312" s="6"/>
      <c r="F312" s="6"/>
      <c r="G312" s="6"/>
      <c r="H312" s="6"/>
      <c r="I312" s="6"/>
    </row>
    <row r="313" spans="1:9" ht="13.75" customHeight="1">
      <c r="A313" s="6"/>
      <c r="B313" s="6"/>
      <c r="C313" s="6"/>
      <c r="D313" s="6"/>
      <c r="E313" s="6"/>
      <c r="F313" s="6"/>
      <c r="G313" s="6"/>
      <c r="H313" s="6"/>
      <c r="I313" s="6"/>
    </row>
    <row r="314" spans="1:9" ht="13.75" customHeight="1">
      <c r="A314" s="6"/>
      <c r="B314" s="6"/>
      <c r="C314" s="6"/>
      <c r="D314" s="6"/>
      <c r="E314" s="6"/>
      <c r="F314" s="6"/>
      <c r="G314" s="6"/>
      <c r="H314" s="6"/>
      <c r="I314" s="6"/>
    </row>
    <row r="315" spans="1:9" ht="13.75" customHeight="1">
      <c r="A315" s="6"/>
      <c r="B315" s="6"/>
      <c r="C315" s="6"/>
      <c r="D315" s="6"/>
      <c r="E315" s="6"/>
      <c r="F315" s="6"/>
      <c r="G315" s="6"/>
      <c r="H315" s="6"/>
      <c r="I315" s="6"/>
    </row>
    <row r="316" spans="1:9" ht="13.75" customHeight="1">
      <c r="A316" s="6"/>
      <c r="B316" s="6"/>
      <c r="C316" s="6"/>
      <c r="D316" s="6"/>
      <c r="E316" s="6"/>
      <c r="F316" s="6"/>
      <c r="G316" s="6"/>
      <c r="H316" s="6"/>
      <c r="I316" s="6"/>
    </row>
    <row r="317" spans="1:9" ht="13.75" customHeight="1">
      <c r="A317" s="6"/>
      <c r="B317" s="6"/>
      <c r="C317" s="6"/>
      <c r="D317" s="6"/>
      <c r="E317" s="6"/>
      <c r="F317" s="6"/>
      <c r="G317" s="6"/>
      <c r="H317" s="6"/>
      <c r="I317" s="6"/>
    </row>
    <row r="318" spans="1:9" ht="13.75" customHeight="1">
      <c r="A318" s="6"/>
      <c r="B318" s="6"/>
      <c r="C318" s="6"/>
      <c r="D318" s="6"/>
      <c r="E318" s="6"/>
      <c r="F318" s="6"/>
      <c r="G318" s="6"/>
      <c r="H318" s="6"/>
      <c r="I318" s="6"/>
    </row>
    <row r="319" spans="1:9" ht="13.75" customHeight="1">
      <c r="A319" s="6"/>
      <c r="B319" s="6"/>
      <c r="C319" s="6"/>
      <c r="D319" s="6"/>
      <c r="E319" s="6"/>
      <c r="F319" s="6"/>
      <c r="G319" s="6"/>
      <c r="H319" s="6"/>
      <c r="I319" s="6"/>
    </row>
    <row r="320" spans="1:9" ht="13.75" customHeight="1">
      <c r="A320" s="6"/>
      <c r="B320" s="6"/>
      <c r="C320" s="6"/>
      <c r="D320" s="6"/>
      <c r="E320" s="6"/>
      <c r="F320" s="6"/>
      <c r="G320" s="6"/>
      <c r="H320" s="6"/>
      <c r="I320" s="6"/>
    </row>
    <row r="321" spans="1:9" ht="13.75" customHeight="1">
      <c r="A321" s="6"/>
      <c r="B321" s="6"/>
      <c r="C321" s="6"/>
      <c r="D321" s="6"/>
      <c r="E321" s="6"/>
      <c r="F321" s="6"/>
      <c r="G321" s="6"/>
      <c r="H321" s="6"/>
      <c r="I321" s="6"/>
    </row>
    <row r="322" spans="1:9" ht="13.75" customHeight="1">
      <c r="A322" s="6"/>
      <c r="B322" s="6"/>
      <c r="C322" s="6"/>
      <c r="D322" s="6"/>
      <c r="E322" s="6"/>
      <c r="F322" s="6"/>
      <c r="G322" s="6"/>
      <c r="H322" s="6"/>
      <c r="I322" s="6"/>
    </row>
    <row r="323" spans="1:9" ht="13.75" customHeight="1">
      <c r="A323" s="6"/>
      <c r="B323" s="6"/>
      <c r="C323" s="6"/>
      <c r="D323" s="6"/>
      <c r="E323" s="6"/>
      <c r="F323" s="6"/>
      <c r="G323" s="6"/>
      <c r="H323" s="6"/>
      <c r="I323" s="6"/>
    </row>
    <row r="324" spans="1:9" ht="13.75" customHeight="1">
      <c r="A324" s="6"/>
      <c r="B324" s="6"/>
      <c r="C324" s="6"/>
      <c r="D324" s="6"/>
      <c r="E324" s="6"/>
      <c r="F324" s="6"/>
      <c r="G324" s="6"/>
      <c r="H324" s="6"/>
      <c r="I324" s="6"/>
    </row>
    <row r="325" spans="1:9" ht="13.75" customHeight="1">
      <c r="A325" s="6"/>
      <c r="B325" s="6"/>
      <c r="C325" s="6"/>
      <c r="D325" s="6"/>
      <c r="E325" s="6"/>
      <c r="F325" s="6"/>
      <c r="G325" s="6"/>
      <c r="H325" s="6"/>
      <c r="I325" s="6"/>
    </row>
    <row r="326" spans="1:9" ht="13.75" customHeight="1">
      <c r="A326" s="6"/>
      <c r="B326" s="6"/>
      <c r="C326" s="6"/>
      <c r="D326" s="6"/>
      <c r="E326" s="6"/>
      <c r="F326" s="6"/>
      <c r="G326" s="6"/>
      <c r="H326" s="6"/>
      <c r="I326" s="6"/>
    </row>
    <row r="327" spans="1:9" ht="13.75" customHeight="1">
      <c r="A327" s="6"/>
      <c r="B327" s="6"/>
      <c r="C327" s="6"/>
      <c r="D327" s="6"/>
      <c r="E327" s="6"/>
      <c r="F327" s="6"/>
      <c r="G327" s="6"/>
      <c r="H327" s="6"/>
      <c r="I327" s="6"/>
    </row>
    <row r="328" spans="1:9" ht="13.75" customHeight="1">
      <c r="A328" s="6"/>
      <c r="B328" s="6"/>
      <c r="C328" s="6"/>
      <c r="D328" s="6"/>
      <c r="E328" s="6"/>
      <c r="F328" s="6"/>
      <c r="G328" s="6"/>
      <c r="H328" s="6"/>
      <c r="I328" s="6"/>
    </row>
    <row r="329" spans="1:9" ht="13.75" customHeight="1">
      <c r="A329" s="6"/>
      <c r="B329" s="6"/>
      <c r="C329" s="6"/>
      <c r="D329" s="6"/>
      <c r="E329" s="6"/>
      <c r="F329" s="6"/>
      <c r="G329" s="6"/>
      <c r="H329" s="6"/>
      <c r="I329" s="6"/>
    </row>
    <row r="330" spans="1:9" ht="13.75" customHeight="1">
      <c r="A330" s="6"/>
      <c r="B330" s="6"/>
      <c r="C330" s="6"/>
      <c r="D330" s="6"/>
      <c r="E330" s="6"/>
      <c r="F330" s="6"/>
      <c r="G330" s="6"/>
      <c r="H330" s="6"/>
      <c r="I330" s="6"/>
    </row>
    <row r="331" spans="1:9" ht="13.75" customHeight="1">
      <c r="A331" s="6"/>
      <c r="B331" s="6"/>
      <c r="C331" s="6"/>
      <c r="D331" s="6"/>
      <c r="E331" s="6"/>
      <c r="F331" s="6"/>
      <c r="G331" s="6"/>
      <c r="H331" s="6"/>
      <c r="I331" s="6"/>
    </row>
    <row r="332" spans="1:9" ht="13.75" customHeight="1">
      <c r="A332" s="6"/>
      <c r="B332" s="6"/>
      <c r="C332" s="6"/>
      <c r="D332" s="6"/>
      <c r="E332" s="6"/>
      <c r="F332" s="6"/>
      <c r="G332" s="6"/>
      <c r="H332" s="6"/>
      <c r="I332" s="6"/>
    </row>
    <row r="333" spans="1:9" ht="13.75" customHeight="1">
      <c r="A333" s="6"/>
      <c r="B333" s="6"/>
      <c r="C333" s="6"/>
      <c r="D333" s="6"/>
      <c r="E333" s="6"/>
      <c r="F333" s="6"/>
      <c r="G333" s="6"/>
      <c r="H333" s="6"/>
      <c r="I333" s="6"/>
    </row>
    <row r="334" spans="1:9" ht="13.75" customHeight="1">
      <c r="A334" s="6"/>
      <c r="B334" s="6"/>
      <c r="C334" s="6"/>
      <c r="D334" s="6"/>
      <c r="E334" s="6"/>
      <c r="F334" s="6"/>
      <c r="G334" s="6"/>
      <c r="H334" s="6"/>
      <c r="I334" s="6"/>
    </row>
    <row r="335" spans="1:9" ht="13.75" customHeight="1">
      <c r="A335" s="6"/>
      <c r="B335" s="6"/>
      <c r="C335" s="6"/>
      <c r="D335" s="6"/>
      <c r="E335" s="6"/>
      <c r="F335" s="6"/>
      <c r="G335" s="6"/>
      <c r="H335" s="6"/>
      <c r="I335" s="6"/>
    </row>
    <row r="336" spans="1:9" ht="13.75" customHeight="1">
      <c r="A336" s="6"/>
      <c r="B336" s="6"/>
      <c r="C336" s="6"/>
      <c r="D336" s="6"/>
      <c r="E336" s="6"/>
      <c r="F336" s="6"/>
      <c r="G336" s="6"/>
      <c r="H336" s="6"/>
      <c r="I336" s="6"/>
    </row>
    <row r="337" spans="1:9" ht="13.75" customHeight="1">
      <c r="A337" s="6"/>
      <c r="B337" s="6"/>
      <c r="C337" s="6"/>
      <c r="D337" s="6"/>
      <c r="E337" s="6"/>
      <c r="F337" s="6"/>
      <c r="G337" s="6"/>
      <c r="H337" s="6"/>
      <c r="I337" s="6"/>
    </row>
    <row r="338" spans="1:9" ht="13.75" customHeight="1">
      <c r="A338" s="6"/>
      <c r="B338" s="6"/>
      <c r="C338" s="6"/>
      <c r="D338" s="6"/>
      <c r="E338" s="6"/>
      <c r="F338" s="6"/>
      <c r="G338" s="6"/>
      <c r="H338" s="6"/>
      <c r="I338" s="6"/>
    </row>
    <row r="339" spans="1:9" ht="13.75" customHeight="1">
      <c r="A339" s="6"/>
      <c r="B339" s="6"/>
      <c r="C339" s="6"/>
      <c r="D339" s="6"/>
      <c r="E339" s="6"/>
      <c r="F339" s="6"/>
      <c r="G339" s="6"/>
      <c r="H339" s="6"/>
      <c r="I339" s="6"/>
    </row>
    <row r="340" spans="1:9" ht="13.75" customHeight="1">
      <c r="A340" s="6"/>
      <c r="B340" s="6"/>
      <c r="C340" s="6"/>
      <c r="D340" s="6"/>
      <c r="E340" s="6"/>
      <c r="F340" s="6"/>
      <c r="G340" s="6"/>
      <c r="H340" s="6"/>
      <c r="I340" s="6"/>
    </row>
    <row r="341" spans="1:9" ht="13.75" customHeight="1">
      <c r="A341" s="6"/>
      <c r="B341" s="6"/>
      <c r="C341" s="6"/>
      <c r="D341" s="6"/>
      <c r="E341" s="6"/>
      <c r="F341" s="6"/>
      <c r="G341" s="6"/>
      <c r="H341" s="6"/>
      <c r="I341" s="6"/>
    </row>
    <row r="342" spans="1:9" ht="13.75" customHeight="1">
      <c r="A342" s="6"/>
      <c r="B342" s="6"/>
      <c r="C342" s="6"/>
      <c r="D342" s="6"/>
      <c r="E342" s="6"/>
      <c r="F342" s="6"/>
      <c r="G342" s="6"/>
      <c r="H342" s="6"/>
      <c r="I342" s="6"/>
    </row>
    <row r="343" spans="1:9" ht="13.75" customHeight="1">
      <c r="A343" s="6"/>
      <c r="B343" s="6"/>
      <c r="C343" s="6"/>
      <c r="D343" s="6"/>
      <c r="E343" s="6"/>
      <c r="F343" s="6"/>
      <c r="G343" s="6"/>
      <c r="H343" s="6"/>
      <c r="I343" s="6"/>
    </row>
    <row r="344" spans="1:9" ht="13.75" customHeight="1">
      <c r="A344" s="6"/>
      <c r="B344" s="6"/>
      <c r="C344" s="6"/>
      <c r="D344" s="6"/>
      <c r="E344" s="6"/>
      <c r="F344" s="6"/>
      <c r="G344" s="6"/>
      <c r="H344" s="6"/>
      <c r="I344" s="6"/>
    </row>
    <row r="345" spans="1:9" ht="13.75" customHeight="1">
      <c r="A345" s="6"/>
      <c r="B345" s="6"/>
      <c r="C345" s="6"/>
      <c r="D345" s="6"/>
      <c r="E345" s="6"/>
      <c r="F345" s="6"/>
      <c r="G345" s="6"/>
      <c r="H345" s="6"/>
      <c r="I345" s="6"/>
    </row>
    <row r="346" spans="1:9" ht="13.75" customHeight="1">
      <c r="A346" s="6"/>
      <c r="B346" s="6"/>
      <c r="C346" s="6"/>
      <c r="D346" s="6"/>
      <c r="E346" s="6"/>
      <c r="F346" s="6"/>
      <c r="G346" s="6"/>
      <c r="H346" s="6"/>
      <c r="I346" s="6"/>
    </row>
    <row r="347" spans="1:9" ht="13.75" customHeight="1">
      <c r="A347" s="6"/>
      <c r="B347" s="6"/>
      <c r="C347" s="6"/>
      <c r="D347" s="6"/>
      <c r="E347" s="6"/>
      <c r="F347" s="6"/>
      <c r="G347" s="6"/>
      <c r="H347" s="6"/>
      <c r="I347" s="6"/>
    </row>
    <row r="348" spans="1:9" ht="13.75" customHeight="1">
      <c r="A348" s="6"/>
      <c r="B348" s="6"/>
      <c r="C348" s="6"/>
      <c r="D348" s="6"/>
      <c r="E348" s="6"/>
      <c r="F348" s="6"/>
      <c r="G348" s="6"/>
      <c r="H348" s="6"/>
      <c r="I348" s="6"/>
    </row>
    <row r="349" spans="1:9" ht="13.75" customHeight="1">
      <c r="A349" s="6"/>
      <c r="B349" s="6"/>
      <c r="C349" s="6"/>
      <c r="D349" s="6"/>
      <c r="E349" s="6"/>
      <c r="F349" s="6"/>
      <c r="G349" s="6"/>
      <c r="H349" s="6"/>
      <c r="I349" s="6"/>
    </row>
    <row r="350" spans="1:9" ht="13.75" customHeight="1">
      <c r="A350" s="6"/>
      <c r="B350" s="6"/>
      <c r="C350" s="6"/>
      <c r="D350" s="6"/>
      <c r="E350" s="6"/>
      <c r="F350" s="6"/>
      <c r="G350" s="6"/>
      <c r="H350" s="6"/>
      <c r="I350" s="6"/>
    </row>
    <row r="351" spans="1:9" ht="13.75" customHeight="1">
      <c r="A351" s="6"/>
      <c r="B351" s="6"/>
      <c r="C351" s="6"/>
      <c r="D351" s="6"/>
      <c r="E351" s="6"/>
      <c r="F351" s="6"/>
      <c r="G351" s="6"/>
      <c r="H351" s="6"/>
      <c r="I351" s="6"/>
    </row>
    <row r="352" spans="1:9" ht="13.75" customHeight="1">
      <c r="A352" s="6"/>
      <c r="B352" s="6"/>
      <c r="C352" s="6"/>
      <c r="D352" s="6"/>
      <c r="E352" s="6"/>
      <c r="F352" s="6"/>
      <c r="G352" s="6"/>
      <c r="H352" s="6"/>
      <c r="I352" s="6"/>
    </row>
    <row r="353" spans="1:9" ht="13.75" customHeight="1">
      <c r="A353" s="6"/>
      <c r="B353" s="6"/>
      <c r="C353" s="6"/>
      <c r="D353" s="6"/>
      <c r="E353" s="6"/>
      <c r="F353" s="6"/>
      <c r="G353" s="6"/>
      <c r="H353" s="6"/>
      <c r="I353" s="6"/>
    </row>
    <row r="354" spans="1:9" ht="13.75" customHeight="1">
      <c r="A354" s="6"/>
      <c r="B354" s="6"/>
      <c r="C354" s="6"/>
      <c r="D354" s="6"/>
      <c r="E354" s="6"/>
      <c r="F354" s="6"/>
      <c r="G354" s="6"/>
      <c r="H354" s="6"/>
      <c r="I354" s="6"/>
    </row>
    <row r="355" spans="1:9" ht="13.75" customHeight="1">
      <c r="A355" s="6"/>
      <c r="B355" s="6"/>
      <c r="C355" s="6"/>
      <c r="D355" s="6"/>
      <c r="E355" s="6"/>
      <c r="F355" s="6"/>
      <c r="G355" s="6"/>
      <c r="H355" s="6"/>
      <c r="I355" s="6"/>
    </row>
    <row r="356" spans="1:9" ht="13.75" customHeight="1">
      <c r="A356" s="6"/>
      <c r="B356" s="6"/>
      <c r="C356" s="6"/>
      <c r="D356" s="6"/>
      <c r="E356" s="6"/>
      <c r="F356" s="6"/>
      <c r="G356" s="6"/>
      <c r="H356" s="6"/>
      <c r="I356" s="6"/>
    </row>
    <row r="357" spans="1:9" ht="13.75" customHeight="1">
      <c r="A357" s="6"/>
      <c r="B357" s="6"/>
      <c r="C357" s="6"/>
      <c r="D357" s="6"/>
      <c r="E357" s="6"/>
      <c r="F357" s="6"/>
      <c r="G357" s="6"/>
      <c r="H357" s="6"/>
      <c r="I357" s="6"/>
    </row>
    <row r="358" spans="1:9" ht="13.75" customHeight="1">
      <c r="A358" s="6"/>
      <c r="B358" s="6"/>
      <c r="C358" s="6"/>
      <c r="D358" s="6"/>
      <c r="E358" s="6"/>
      <c r="F358" s="6"/>
      <c r="G358" s="6"/>
      <c r="H358" s="6"/>
      <c r="I358" s="6"/>
    </row>
    <row r="359" spans="1:9" ht="13.75" customHeight="1">
      <c r="A359" s="6"/>
      <c r="B359" s="6"/>
      <c r="C359" s="6"/>
      <c r="D359" s="6"/>
      <c r="E359" s="6"/>
      <c r="F359" s="6"/>
      <c r="G359" s="6"/>
      <c r="H359" s="6"/>
      <c r="I359" s="6"/>
    </row>
    <row r="360" spans="1:9" ht="13.75" customHeight="1">
      <c r="A360" s="6"/>
      <c r="B360" s="6"/>
      <c r="C360" s="6"/>
      <c r="D360" s="6"/>
      <c r="E360" s="6"/>
      <c r="F360" s="6"/>
      <c r="G360" s="6"/>
      <c r="H360" s="6"/>
      <c r="I360" s="6"/>
    </row>
    <row r="361" spans="1:9" ht="13.75" customHeight="1">
      <c r="A361" s="6"/>
      <c r="B361" s="6"/>
      <c r="C361" s="6"/>
      <c r="D361" s="6"/>
      <c r="E361" s="6"/>
      <c r="F361" s="6"/>
      <c r="G361" s="6"/>
      <c r="H361" s="6"/>
      <c r="I361" s="6"/>
    </row>
    <row r="362" spans="1:9" ht="13.75" customHeight="1">
      <c r="A362" s="6"/>
      <c r="B362" s="6"/>
      <c r="C362" s="6"/>
      <c r="D362" s="6"/>
      <c r="E362" s="6"/>
      <c r="F362" s="6"/>
      <c r="G362" s="6"/>
      <c r="H362" s="6"/>
      <c r="I362" s="6"/>
    </row>
    <row r="363" spans="1:9" ht="13.75" customHeight="1">
      <c r="A363" s="6"/>
      <c r="B363" s="6"/>
      <c r="C363" s="6"/>
      <c r="D363" s="6"/>
      <c r="E363" s="6"/>
      <c r="F363" s="6"/>
      <c r="G363" s="6"/>
      <c r="H363" s="6"/>
      <c r="I363" s="6"/>
    </row>
    <row r="364" spans="1:9" ht="13.75" customHeight="1">
      <c r="A364" s="6"/>
      <c r="B364" s="6"/>
      <c r="C364" s="6"/>
      <c r="D364" s="6"/>
      <c r="E364" s="6"/>
      <c r="F364" s="6"/>
      <c r="G364" s="6"/>
      <c r="H364" s="6"/>
      <c r="I364" s="6"/>
    </row>
    <row r="365" spans="1:9" ht="13.75" customHeight="1">
      <c r="A365" s="6"/>
      <c r="B365" s="6"/>
      <c r="C365" s="6"/>
      <c r="D365" s="6"/>
      <c r="E365" s="6"/>
      <c r="F365" s="6"/>
      <c r="G365" s="6"/>
      <c r="H365" s="6"/>
      <c r="I365" s="6"/>
    </row>
    <row r="366" spans="1:9" ht="13.75" customHeight="1">
      <c r="A366" s="6"/>
      <c r="B366" s="6"/>
      <c r="C366" s="6"/>
      <c r="D366" s="6"/>
      <c r="E366" s="6"/>
      <c r="F366" s="6"/>
      <c r="G366" s="6"/>
      <c r="H366" s="6"/>
      <c r="I366" s="6"/>
    </row>
    <row r="367" spans="1:9" ht="13.75" customHeight="1">
      <c r="A367" s="6"/>
      <c r="B367" s="6"/>
      <c r="C367" s="6"/>
      <c r="D367" s="6"/>
      <c r="E367" s="6"/>
      <c r="F367" s="6"/>
      <c r="G367" s="6"/>
      <c r="H367" s="6"/>
      <c r="I367" s="6"/>
    </row>
    <row r="368" spans="1:9" ht="13.75" customHeight="1">
      <c r="A368" s="6"/>
      <c r="B368" s="6"/>
      <c r="C368" s="6"/>
      <c r="D368" s="6"/>
      <c r="E368" s="6"/>
      <c r="F368" s="6"/>
      <c r="G368" s="6"/>
      <c r="H368" s="6"/>
      <c r="I368" s="6"/>
    </row>
    <row r="369" spans="1:9" ht="13.75" customHeight="1">
      <c r="A369" s="6"/>
      <c r="B369" s="6"/>
      <c r="C369" s="6"/>
      <c r="D369" s="6"/>
      <c r="E369" s="6"/>
      <c r="F369" s="6"/>
      <c r="G369" s="6"/>
      <c r="H369" s="6"/>
      <c r="I369" s="6"/>
    </row>
    <row r="370" spans="1:9" ht="13.75" customHeight="1">
      <c r="A370" s="6"/>
      <c r="B370" s="6"/>
      <c r="C370" s="6"/>
      <c r="D370" s="6"/>
      <c r="E370" s="6"/>
      <c r="F370" s="6"/>
      <c r="G370" s="6"/>
      <c r="H370" s="6"/>
      <c r="I370" s="6"/>
    </row>
    <row r="371" spans="1:9" ht="13.75" customHeight="1">
      <c r="A371" s="6"/>
      <c r="B371" s="6"/>
      <c r="C371" s="6"/>
      <c r="D371" s="6"/>
      <c r="E371" s="6"/>
      <c r="F371" s="6"/>
      <c r="G371" s="6"/>
      <c r="H371" s="6"/>
      <c r="I371" s="6"/>
    </row>
    <row r="372" spans="1:9" ht="13.75" customHeight="1">
      <c r="A372" s="6"/>
      <c r="B372" s="6"/>
      <c r="C372" s="6"/>
      <c r="D372" s="6"/>
      <c r="E372" s="6"/>
      <c r="F372" s="6"/>
      <c r="G372" s="6"/>
      <c r="H372" s="6"/>
      <c r="I372" s="6"/>
    </row>
    <row r="373" spans="1:9" ht="13.75" customHeight="1">
      <c r="A373" s="6"/>
      <c r="B373" s="6"/>
      <c r="C373" s="6"/>
      <c r="D373" s="6"/>
      <c r="E373" s="6"/>
      <c r="F373" s="6"/>
      <c r="G373" s="6"/>
      <c r="H373" s="6"/>
      <c r="I373" s="6"/>
    </row>
    <row r="374" spans="1:9" ht="13.75" customHeight="1">
      <c r="A374" s="6"/>
      <c r="B374" s="6"/>
      <c r="C374" s="6"/>
      <c r="D374" s="6"/>
      <c r="E374" s="6"/>
      <c r="F374" s="6"/>
      <c r="G374" s="6"/>
      <c r="H374" s="6"/>
      <c r="I374" s="6"/>
    </row>
    <row r="375" spans="1:9" ht="13.75" customHeight="1">
      <c r="A375" s="6"/>
      <c r="B375" s="6"/>
      <c r="C375" s="6"/>
      <c r="D375" s="6"/>
      <c r="E375" s="6"/>
      <c r="F375" s="6"/>
      <c r="G375" s="6"/>
      <c r="H375" s="6"/>
      <c r="I375" s="6"/>
    </row>
    <row r="376" spans="1:9" ht="13.75" customHeight="1">
      <c r="A376" s="6"/>
      <c r="B376" s="6"/>
      <c r="C376" s="6"/>
      <c r="D376" s="6"/>
      <c r="E376" s="6"/>
      <c r="F376" s="6"/>
      <c r="G376" s="6"/>
      <c r="H376" s="6"/>
      <c r="I376" s="6"/>
    </row>
    <row r="377" spans="1:9" ht="13.75" customHeight="1">
      <c r="A377" s="6"/>
      <c r="B377" s="6"/>
      <c r="C377" s="6"/>
      <c r="D377" s="6"/>
      <c r="E377" s="6"/>
      <c r="F377" s="6"/>
      <c r="G377" s="6"/>
      <c r="H377" s="6"/>
      <c r="I377" s="6"/>
    </row>
    <row r="378" spans="1:9" ht="13.75" customHeight="1">
      <c r="A378" s="6"/>
      <c r="B378" s="6"/>
      <c r="C378" s="6"/>
      <c r="D378" s="6"/>
      <c r="E378" s="6"/>
      <c r="F378" s="6"/>
      <c r="G378" s="6"/>
      <c r="H378" s="6"/>
      <c r="I378" s="6"/>
    </row>
    <row r="379" spans="1:9" ht="13.75" customHeight="1">
      <c r="A379" s="6"/>
      <c r="B379" s="6"/>
      <c r="C379" s="6"/>
      <c r="D379" s="6"/>
      <c r="E379" s="6"/>
      <c r="F379" s="6"/>
      <c r="G379" s="6"/>
      <c r="H379" s="6"/>
      <c r="I379" s="6"/>
    </row>
    <row r="380" spans="1:9" ht="13.75" customHeight="1">
      <c r="A380" s="6"/>
      <c r="B380" s="6"/>
      <c r="C380" s="6"/>
      <c r="D380" s="6"/>
      <c r="E380" s="6"/>
      <c r="F380" s="6"/>
      <c r="G380" s="6"/>
      <c r="H380" s="6"/>
      <c r="I380" s="6"/>
    </row>
  </sheetData>
  <pageMargins left="0.75" right="0.75" top="1" bottom="1" header="0.5" footer="0.5"/>
  <pageSetup orientation="portrait"/>
  <headerFooter>
    <oddFooter>&amp;C&amp;"Helvetica Neue,Regular"&amp;12&amp;K000000&amp;P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5"/>
  <sheetViews>
    <sheetView showGridLines="0" workbookViewId="0"/>
  </sheetViews>
  <sheetFormatPr baseColWidth="10" defaultColWidth="9.1640625" defaultRowHeight="16" customHeight="1"/>
  <cols>
    <col min="1" max="1" width="6.83203125" style="4" customWidth="1"/>
    <col min="2" max="2" width="9.1640625" style="4" customWidth="1"/>
    <col min="3" max="3" width="10.6640625" style="4" customWidth="1"/>
    <col min="4" max="4" width="9.1640625" style="4" customWidth="1"/>
    <col min="5" max="5" width="11.83203125" style="4" customWidth="1"/>
    <col min="6" max="11" width="9.1640625" style="4" customWidth="1"/>
    <col min="12" max="12" width="11.83203125" style="4" customWidth="1"/>
    <col min="13" max="14" width="9.1640625" style="4" customWidth="1"/>
    <col min="15" max="16384" width="9.1640625" style="4"/>
  </cols>
  <sheetData>
    <row r="1" spans="1:13" ht="17.5" customHeight="1">
      <c r="A1" s="8" t="s">
        <v>462</v>
      </c>
      <c r="B1" s="6"/>
      <c r="C1" s="6"/>
      <c r="D1" s="6"/>
      <c r="E1" s="6"/>
      <c r="F1" s="6"/>
      <c r="G1" s="6"/>
      <c r="H1" s="6"/>
      <c r="I1" s="6"/>
      <c r="J1" s="6"/>
      <c r="K1" s="6"/>
      <c r="L1" s="6"/>
      <c r="M1" s="6"/>
    </row>
    <row r="2" spans="1:13" ht="17.5" customHeight="1">
      <c r="A2" s="8" t="s">
        <v>463</v>
      </c>
      <c r="B2" s="6"/>
      <c r="C2" s="6"/>
      <c r="D2" s="6"/>
      <c r="E2" s="6"/>
      <c r="F2" s="6"/>
      <c r="G2" s="6"/>
      <c r="H2" s="6"/>
      <c r="I2" s="6"/>
      <c r="J2" s="6"/>
      <c r="K2" s="6"/>
      <c r="L2" s="6"/>
      <c r="M2" s="6"/>
    </row>
    <row r="3" spans="1:13" ht="17.5" customHeight="1">
      <c r="A3" s="8" t="s">
        <v>464</v>
      </c>
      <c r="B3" s="6"/>
      <c r="C3" s="6"/>
      <c r="D3" s="6"/>
      <c r="E3" s="6"/>
      <c r="F3" s="6"/>
      <c r="G3" s="6"/>
      <c r="H3" s="6"/>
      <c r="I3" s="6"/>
      <c r="J3" s="6"/>
      <c r="K3" s="6"/>
      <c r="L3" s="6"/>
      <c r="M3" s="6"/>
    </row>
    <row r="4" spans="1:13" ht="17.5" customHeight="1">
      <c r="A4" s="8" t="s">
        <v>465</v>
      </c>
      <c r="B4" s="6"/>
      <c r="C4" s="6"/>
      <c r="D4" s="6"/>
      <c r="E4" s="6"/>
      <c r="F4" s="6"/>
      <c r="G4" s="6"/>
      <c r="H4" s="6"/>
      <c r="I4" s="6"/>
      <c r="J4" s="6"/>
      <c r="K4" s="6"/>
      <c r="L4" s="6"/>
      <c r="M4" s="6"/>
    </row>
    <row r="5" spans="1:13" ht="13.75" customHeight="1">
      <c r="A5" s="6"/>
      <c r="B5" s="6"/>
      <c r="C5" s="6"/>
      <c r="D5" s="6"/>
      <c r="E5" s="6"/>
      <c r="F5" s="6"/>
      <c r="G5" s="6"/>
      <c r="H5" s="6"/>
      <c r="I5" s="6"/>
      <c r="J5" s="6"/>
      <c r="K5" s="6"/>
      <c r="L5" s="6"/>
      <c r="M5" s="6"/>
    </row>
    <row r="6" spans="1:13" ht="13.75" customHeight="1">
      <c r="A6" s="6"/>
      <c r="B6" s="6"/>
      <c r="C6" s="6"/>
      <c r="D6" s="6"/>
      <c r="E6" s="6"/>
      <c r="F6" s="6"/>
      <c r="G6" s="6"/>
      <c r="H6" s="6"/>
      <c r="I6" s="6"/>
      <c r="J6" s="6"/>
      <c r="K6" s="6"/>
      <c r="L6" s="6"/>
      <c r="M6" s="6"/>
    </row>
    <row r="7" spans="1:13" ht="85" customHeight="1">
      <c r="A7" s="41"/>
      <c r="B7" s="21" t="s">
        <v>466</v>
      </c>
      <c r="C7" s="21" t="s">
        <v>467</v>
      </c>
      <c r="D7" s="21" t="s">
        <v>468</v>
      </c>
      <c r="E7" s="21" t="s">
        <v>469</v>
      </c>
      <c r="F7" s="6"/>
      <c r="G7" s="21" t="s">
        <v>470</v>
      </c>
      <c r="H7" s="21" t="s">
        <v>471</v>
      </c>
      <c r="I7" s="21" t="s">
        <v>472</v>
      </c>
      <c r="J7" s="12" t="s">
        <v>473</v>
      </c>
      <c r="K7" s="21" t="s">
        <v>474</v>
      </c>
      <c r="L7" s="21" t="s">
        <v>475</v>
      </c>
      <c r="M7" s="6"/>
    </row>
    <row r="8" spans="1:13" ht="17.5" customHeight="1">
      <c r="A8" s="22">
        <v>1839</v>
      </c>
      <c r="B8" s="69">
        <f>'S14-Gallman (1966) Table A-1'!B7</f>
        <v>1.54</v>
      </c>
      <c r="C8" s="69">
        <f>'S8-NFI 1820-1860'!B29/1000</f>
        <v>-1.3599999999999999E-2</v>
      </c>
      <c r="D8" s="69">
        <f>B8-C8</f>
        <v>1.5536000000000001</v>
      </c>
      <c r="E8" s="69">
        <f>'S12 - Weiss 1993 Table A2'!F13/1000000</f>
        <v>1.5529999999999999</v>
      </c>
      <c r="F8" s="6"/>
      <c r="G8" s="69">
        <f>'S14-Gallman (1966) Table A-1'!C7</f>
        <v>1.62</v>
      </c>
      <c r="H8" s="69">
        <f>'S8-NFI 1820-1860'!E29/1000</f>
        <v>-1.1049999999999999E-2</v>
      </c>
      <c r="I8" s="69">
        <f>G8-H8</f>
        <v>1.6310500000000001</v>
      </c>
      <c r="J8" s="25">
        <f>'S12 - Weiss 1993 Table A2'!F24</f>
        <v>100</v>
      </c>
      <c r="K8" s="69">
        <f>(D8/J8)*100</f>
        <v>1.5536000000000001</v>
      </c>
      <c r="L8" s="69">
        <f>'S13 -Weiss 1993 Table A3'!F12/1000000</f>
        <v>1.5529999999999999</v>
      </c>
      <c r="M8" s="40"/>
    </row>
    <row r="9" spans="1:13" ht="17.5" customHeight="1">
      <c r="A9" s="22">
        <v>1849</v>
      </c>
      <c r="B9" s="69">
        <f>'S14-Gallman (1966) Table A-1'!B9</f>
        <v>2.3199999999999998</v>
      </c>
      <c r="C9" s="69">
        <f>'S8-NFI 1820-1860'!B30/1000</f>
        <v>-1.1900000000000001E-2</v>
      </c>
      <c r="D9" s="69">
        <f>B9-C9</f>
        <v>2.3318999999999996</v>
      </c>
      <c r="E9" s="69">
        <f>'S12 - Weiss 1993 Table A2'!F14/1000000</f>
        <v>2.3279999999999998</v>
      </c>
      <c r="F9" s="6"/>
      <c r="G9" s="69">
        <f>'S14-Gallman (1966) Table A-1'!C9</f>
        <v>2.4300000000000002</v>
      </c>
      <c r="H9" s="69">
        <f>'S8-NFI 1820-1860'!E39/1000</f>
        <v>-1.3111111111111112E-2</v>
      </c>
      <c r="I9" s="69">
        <f>G9-H9</f>
        <v>2.4431111111111115</v>
      </c>
      <c r="J9" s="25">
        <f>'S12 - Weiss 1993 Table A2'!F25</f>
        <v>100</v>
      </c>
      <c r="K9" s="69">
        <f>(D9/J9)*100</f>
        <v>2.3318999999999996</v>
      </c>
      <c r="L9" s="69">
        <f>'S13 -Weiss 1993 Table A3'!F13/1000000</f>
        <v>2.3185859999999998</v>
      </c>
      <c r="M9" s="6"/>
    </row>
    <row r="10" spans="1:13" ht="17.5" customHeight="1">
      <c r="A10" s="22">
        <v>1859</v>
      </c>
      <c r="B10" s="69">
        <f>'S14-Gallman (1966) Table A-1'!B11</f>
        <v>4.17</v>
      </c>
      <c r="C10" s="69">
        <f>'S8-NFI 1820-1860'!B31/1000</f>
        <v>-8.0000000000000002E-3</v>
      </c>
      <c r="D10" s="69">
        <f>B10-C10</f>
        <v>4.1779999999999999</v>
      </c>
      <c r="E10" s="69">
        <f>'S12 - Weiss 1993 Table A2'!F15/1000000</f>
        <v>4.18</v>
      </c>
      <c r="F10" s="6"/>
      <c r="G10" s="69">
        <f>'S14-Gallman (1966) Table A-1'!C11</f>
        <v>4.0999999999999996</v>
      </c>
      <c r="H10" s="69">
        <f>'S8-NFI 1820-1860'!E49/1000</f>
        <v>-2.1728571428571427E-2</v>
      </c>
      <c r="I10" s="69">
        <f>G10-H10</f>
        <v>4.1217285714285712</v>
      </c>
      <c r="J10" s="25">
        <f>'S12 - Weiss 1993 Table A2'!F26</f>
        <v>107</v>
      </c>
      <c r="K10" s="69">
        <f>(D10/J10)*100</f>
        <v>3.9046728971962619</v>
      </c>
      <c r="L10" s="69">
        <f>'S13 -Weiss 1993 Table A3'!F14/1000000</f>
        <v>3.9085480000000001</v>
      </c>
      <c r="M10" s="6"/>
    </row>
    <row r="11" spans="1:13" ht="13.75" customHeight="1">
      <c r="A11" s="6"/>
      <c r="B11" s="6"/>
      <c r="C11" s="6"/>
      <c r="D11" s="6"/>
      <c r="E11" s="6"/>
      <c r="F11" s="6"/>
      <c r="G11" s="6"/>
      <c r="H11" s="6"/>
      <c r="I11" s="6"/>
      <c r="J11" s="6"/>
      <c r="K11" s="6"/>
      <c r="L11" s="6"/>
      <c r="M11" s="6"/>
    </row>
    <row r="12" spans="1:13" ht="13.75" customHeight="1">
      <c r="A12" s="6"/>
      <c r="B12" s="6"/>
      <c r="C12" s="6"/>
      <c r="D12" s="6"/>
      <c r="E12" s="6"/>
      <c r="F12" s="6"/>
      <c r="G12" s="6"/>
      <c r="H12" s="6"/>
      <c r="I12" s="6"/>
      <c r="J12" s="6"/>
      <c r="K12" s="6"/>
      <c r="L12" s="6"/>
      <c r="M12" s="6"/>
    </row>
    <row r="13" spans="1:13" ht="15.75" customHeight="1">
      <c r="A13" s="237" t="s">
        <v>460</v>
      </c>
      <c r="B13" s="238"/>
      <c r="C13" s="238"/>
      <c r="D13" s="238"/>
      <c r="E13" s="238"/>
      <c r="F13" s="238"/>
      <c r="G13" s="238"/>
      <c r="H13" s="6"/>
      <c r="I13" s="6"/>
      <c r="J13" s="6"/>
      <c r="K13" s="6"/>
      <c r="L13" s="6"/>
      <c r="M13" s="6"/>
    </row>
    <row r="14" spans="1:13" ht="13.75" customHeight="1">
      <c r="A14" s="238"/>
      <c r="B14" s="238"/>
      <c r="C14" s="238"/>
      <c r="D14" s="238"/>
      <c r="E14" s="238"/>
      <c r="F14" s="238"/>
      <c r="G14" s="238"/>
      <c r="H14" s="6"/>
      <c r="I14" s="6"/>
      <c r="J14" s="6"/>
      <c r="K14" s="6"/>
      <c r="L14" s="6"/>
      <c r="M14" s="6"/>
    </row>
    <row r="15" spans="1:13" ht="46.5" customHeight="1">
      <c r="A15" s="238"/>
      <c r="B15" s="238"/>
      <c r="C15" s="238"/>
      <c r="D15" s="238"/>
      <c r="E15" s="238"/>
      <c r="F15" s="238"/>
      <c r="G15" s="238"/>
      <c r="H15" s="6"/>
      <c r="I15" s="6"/>
      <c r="J15" s="6"/>
      <c r="K15" s="6"/>
      <c r="L15" s="6"/>
      <c r="M15" s="6"/>
    </row>
  </sheetData>
  <mergeCells count="1">
    <mergeCell ref="A13:G15"/>
  </mergeCells>
  <pageMargins left="0.75" right="0.75" top="1" bottom="1" header="0.5" footer="0.5"/>
  <pageSetup orientation="portrait"/>
  <headerFooter>
    <oddFooter>&amp;C&amp;"Helvetica Neue,Regular"&amp;12&amp;K000000&amp;P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8"/>
  <sheetViews>
    <sheetView showGridLines="0" workbookViewId="0"/>
  </sheetViews>
  <sheetFormatPr baseColWidth="10" defaultColWidth="9.1640625" defaultRowHeight="16" customHeight="1"/>
  <cols>
    <col min="1" max="1" width="9.1640625" style="4" customWidth="1"/>
    <col min="2" max="2" width="19.83203125" style="4" customWidth="1"/>
    <col min="3" max="4" width="13.83203125" style="4" customWidth="1"/>
    <col min="5" max="5" width="18.6640625" style="4" customWidth="1"/>
    <col min="6" max="8" width="9.1640625" style="4" customWidth="1"/>
    <col min="9" max="16384" width="9.1640625" style="4"/>
  </cols>
  <sheetData>
    <row r="1" spans="1:7" ht="17.5" customHeight="1">
      <c r="A1" s="74" t="s">
        <v>91</v>
      </c>
      <c r="B1" s="6"/>
      <c r="C1" s="6"/>
      <c r="D1" s="6"/>
      <c r="E1" s="6"/>
      <c r="F1" s="6"/>
      <c r="G1" s="6"/>
    </row>
    <row r="2" spans="1:7" ht="17.5" customHeight="1">
      <c r="A2" s="19" t="s">
        <v>477</v>
      </c>
      <c r="B2" s="6"/>
      <c r="C2" s="6"/>
      <c r="D2" s="6"/>
      <c r="E2" s="6"/>
      <c r="F2" s="6"/>
      <c r="G2" s="6"/>
    </row>
    <row r="3" spans="1:7" ht="17.5" customHeight="1">
      <c r="A3" s="16"/>
      <c r="B3" s="6"/>
      <c r="C3" s="6"/>
      <c r="D3" s="6"/>
      <c r="E3" s="6"/>
      <c r="F3" s="6"/>
      <c r="G3" s="6"/>
    </row>
    <row r="4" spans="1:7" ht="17.5" customHeight="1">
      <c r="A4" s="74" t="s">
        <v>478</v>
      </c>
      <c r="B4" s="6"/>
      <c r="C4" s="6"/>
      <c r="D4" s="6"/>
      <c r="E4" s="6"/>
      <c r="F4" s="6"/>
      <c r="G4" s="6"/>
    </row>
    <row r="5" spans="1:7" ht="17.5" customHeight="1">
      <c r="A5" s="16"/>
      <c r="B5" s="6"/>
      <c r="C5" s="6"/>
      <c r="D5" s="6"/>
      <c r="E5" s="6"/>
      <c r="F5" s="6"/>
      <c r="G5" s="6"/>
    </row>
    <row r="6" spans="1:7" ht="17.5" customHeight="1">
      <c r="A6" s="8" t="s">
        <v>150</v>
      </c>
      <c r="B6" s="6"/>
      <c r="C6" s="6"/>
      <c r="D6" s="6"/>
      <c r="E6" s="6"/>
      <c r="F6" s="6"/>
      <c r="G6" s="6"/>
    </row>
    <row r="7" spans="1:7" ht="17.5" customHeight="1">
      <c r="A7" s="8" t="s">
        <v>479</v>
      </c>
      <c r="B7" s="6"/>
      <c r="C7" s="6"/>
      <c r="D7" s="6"/>
      <c r="E7" s="6"/>
      <c r="F7" s="6"/>
      <c r="G7" s="6"/>
    </row>
    <row r="8" spans="1:7" ht="17.5" customHeight="1">
      <c r="A8" s="8" t="s">
        <v>480</v>
      </c>
      <c r="B8" s="6"/>
      <c r="C8" s="6"/>
      <c r="D8" s="6"/>
      <c r="E8" s="6"/>
      <c r="F8" s="6"/>
      <c r="G8" s="6"/>
    </row>
    <row r="9" spans="1:7" ht="17.5" customHeight="1">
      <c r="A9" s="8" t="s">
        <v>481</v>
      </c>
      <c r="B9" s="6"/>
      <c r="C9" s="6"/>
      <c r="D9" s="6"/>
      <c r="E9" s="6"/>
      <c r="F9" s="6"/>
      <c r="G9" s="6"/>
    </row>
    <row r="10" spans="1:7" ht="13.75" customHeight="1">
      <c r="A10" s="6"/>
      <c r="B10" s="6"/>
      <c r="C10" s="6"/>
      <c r="D10" s="6"/>
      <c r="E10" s="6"/>
      <c r="F10" s="6"/>
      <c r="G10" s="6"/>
    </row>
    <row r="11" spans="1:7" ht="51" customHeight="1">
      <c r="A11" s="21" t="s">
        <v>95</v>
      </c>
      <c r="B11" s="21" t="s">
        <v>482</v>
      </c>
      <c r="C11" s="21" t="s">
        <v>483</v>
      </c>
      <c r="D11" s="21" t="s">
        <v>484</v>
      </c>
      <c r="E11" s="21" t="s">
        <v>485</v>
      </c>
      <c r="F11" s="6"/>
      <c r="G11" s="6"/>
    </row>
    <row r="12" spans="1:7" ht="17.5" customHeight="1">
      <c r="A12" s="108">
        <v>1793</v>
      </c>
      <c r="B12" s="69">
        <f>'S5 - McCusker Table 2'!$B$11/1000000</f>
        <v>0.25189</v>
      </c>
      <c r="C12" s="25">
        <f>(C13/'S5 - McCusker Table 2'!$D$12)*'S5 - McCusker Table 2'!$D$11</f>
        <v>97.489655172413805</v>
      </c>
      <c r="D12" s="25">
        <f t="shared" ref="D12:D17" si="0">(C12/$C$19)*$D$19</f>
        <v>92.934063809216894</v>
      </c>
      <c r="E12" s="69">
        <f>B12*(C12/D12)</f>
        <v>0.26423754901960783</v>
      </c>
      <c r="F12" s="6"/>
      <c r="G12" s="6"/>
    </row>
    <row r="13" spans="1:7" ht="17.5" customHeight="1">
      <c r="A13" s="108">
        <v>1799</v>
      </c>
      <c r="B13" s="69">
        <f>'S13 -Weiss 1993 Table A3'!F8/1000000</f>
        <v>0.35278599999999999</v>
      </c>
      <c r="C13" s="25">
        <f>'S12 - Weiss 1993 Table A2'!F20</f>
        <v>124</v>
      </c>
      <c r="D13" s="25">
        <f t="shared" si="0"/>
        <v>118.20560747663551</v>
      </c>
      <c r="E13" s="69">
        <f>B13*(C13/D13)</f>
        <v>0.37007943137254901</v>
      </c>
      <c r="F13" s="69"/>
      <c r="G13" s="6"/>
    </row>
    <row r="14" spans="1:7" ht="17.5" customHeight="1">
      <c r="A14" s="108">
        <v>1809</v>
      </c>
      <c r="B14" s="69">
        <f>'S13 -Weiss 1993 Table A3'!F9/1000000</f>
        <v>0.50746199999999997</v>
      </c>
      <c r="C14" s="25">
        <f>'S12 - Weiss 1993 Table A2'!F21</f>
        <v>134</v>
      </c>
      <c r="D14" s="25">
        <f t="shared" si="0"/>
        <v>127.73831775700934</v>
      </c>
      <c r="E14" s="69">
        <f>B14*(C14/D14)</f>
        <v>0.53233758823529409</v>
      </c>
      <c r="F14" s="6"/>
      <c r="G14" s="6"/>
    </row>
    <row r="15" spans="1:7" ht="17.5" customHeight="1">
      <c r="A15" s="108">
        <v>1819</v>
      </c>
      <c r="B15" s="69">
        <f>'S13 -Weiss 1993 Table A3'!F10/1000000</f>
        <v>0.69856200000000002</v>
      </c>
      <c r="C15" s="25">
        <f>'S12 - Weiss 1993 Table A2'!F22</f>
        <v>103</v>
      </c>
      <c r="D15" s="25">
        <f t="shared" si="0"/>
        <v>98.186915887850461</v>
      </c>
      <c r="E15" s="69">
        <f>B15*(C15/D15)</f>
        <v>0.73280523529411767</v>
      </c>
      <c r="F15" s="6"/>
      <c r="G15" s="6"/>
    </row>
    <row r="16" spans="1:7" ht="17.5" customHeight="1">
      <c r="A16" s="108">
        <v>1829</v>
      </c>
      <c r="B16" s="109">
        <f>'S13 -Weiss 1993 Table A3'!F11/1000000</f>
        <v>1.02294</v>
      </c>
      <c r="C16" s="25">
        <f>'S12 - Weiss 1993 Table A2'!F23</f>
        <v>90</v>
      </c>
      <c r="D16" s="25">
        <f t="shared" si="0"/>
        <v>85.794392523364479</v>
      </c>
      <c r="E16" s="69">
        <f>B16*(C16/D16)</f>
        <v>1.0730841176470589</v>
      </c>
      <c r="F16" s="6"/>
      <c r="G16" s="6"/>
    </row>
    <row r="17" spans="1:7" ht="17.5" customHeight="1">
      <c r="A17" s="108">
        <v>1839</v>
      </c>
      <c r="B17" s="109">
        <f>'S13 -Weiss 1993 Table A3'!F12/1000000</f>
        <v>1.5529999999999999</v>
      </c>
      <c r="C17" s="25">
        <f>'S12 - Weiss 1993 Table A2'!F24</f>
        <v>100</v>
      </c>
      <c r="D17" s="109">
        <f t="shared" si="0"/>
        <v>95.327102803738313</v>
      </c>
      <c r="E17" s="109">
        <f>B17*(C16/D16)</f>
        <v>1.6291274509803921</v>
      </c>
      <c r="F17" s="6"/>
      <c r="G17" s="6"/>
    </row>
    <row r="18" spans="1:7" ht="17.5" customHeight="1">
      <c r="A18" s="108">
        <v>1849</v>
      </c>
      <c r="B18" s="69">
        <f>'S13 -Weiss 1993 Table A3'!F13/1000000</f>
        <v>2.3185859999999998</v>
      </c>
      <c r="C18" s="25">
        <f>'S12 - Weiss 1993 Table A2'!F25</f>
        <v>100</v>
      </c>
      <c r="D18" s="109">
        <f>(C16/$C$19)*$D$19</f>
        <v>85.794392523364479</v>
      </c>
      <c r="E18" s="109">
        <f>B18*(C16/D16)</f>
        <v>2.4322421764705879</v>
      </c>
      <c r="F18" s="6"/>
      <c r="G18" s="6"/>
    </row>
    <row r="19" spans="1:7" ht="17.5" customHeight="1">
      <c r="A19" s="108">
        <v>1859</v>
      </c>
      <c r="B19" s="109">
        <f>'S13 -Weiss 1993 Table A3'!F14/1000000</f>
        <v>3.9085480000000001</v>
      </c>
      <c r="C19" s="25">
        <f>'S12 - Weiss 1993 Table A2'!F26</f>
        <v>107</v>
      </c>
      <c r="D19" s="25">
        <v>102</v>
      </c>
      <c r="E19" s="109">
        <f>B19*(C16/D16)</f>
        <v>4.1001434901960785</v>
      </c>
      <c r="F19" s="6"/>
      <c r="G19" s="6"/>
    </row>
    <row r="20" spans="1:7" ht="13.75" customHeight="1">
      <c r="A20" s="6"/>
      <c r="B20" s="6"/>
      <c r="C20" s="6"/>
      <c r="D20" s="6"/>
      <c r="E20" s="6"/>
      <c r="F20" s="6"/>
      <c r="G20" s="6"/>
    </row>
    <row r="21" spans="1:7" ht="8.5" customHeight="1">
      <c r="A21" s="239"/>
      <c r="B21" s="238"/>
      <c r="C21" s="238"/>
      <c r="D21" s="238"/>
      <c r="E21" s="238"/>
      <c r="F21" s="238"/>
      <c r="G21" s="238"/>
    </row>
    <row r="22" spans="1:7" ht="8" customHeight="1">
      <c r="A22" s="238"/>
      <c r="B22" s="238"/>
      <c r="C22" s="238"/>
      <c r="D22" s="238"/>
      <c r="E22" s="238"/>
      <c r="F22" s="238"/>
      <c r="G22" s="238"/>
    </row>
    <row r="23" spans="1:7" ht="50.25" customHeight="1">
      <c r="A23" s="238"/>
      <c r="B23" s="238"/>
      <c r="C23" s="238"/>
      <c r="D23" s="238"/>
      <c r="E23" s="238"/>
      <c r="F23" s="238"/>
      <c r="G23" s="238"/>
    </row>
    <row r="24" spans="1:7" ht="17.5" customHeight="1">
      <c r="A24" s="8" t="s">
        <v>460</v>
      </c>
      <c r="B24" s="15"/>
      <c r="C24" s="6"/>
      <c r="D24" s="6"/>
      <c r="E24" s="6"/>
      <c r="F24" s="6"/>
      <c r="G24" s="6"/>
    </row>
    <row r="25" spans="1:7" ht="17.5" customHeight="1">
      <c r="A25" s="6"/>
      <c r="B25" s="15"/>
      <c r="C25" s="6"/>
      <c r="D25" s="33"/>
      <c r="E25" s="6"/>
      <c r="F25" s="6"/>
      <c r="G25" s="6"/>
    </row>
    <row r="26" spans="1:7" ht="8.5" customHeight="1">
      <c r="A26" s="239"/>
      <c r="B26" s="238"/>
      <c r="C26" s="238"/>
      <c r="D26" s="238"/>
      <c r="E26" s="238"/>
      <c r="F26" s="238"/>
      <c r="G26" s="238"/>
    </row>
    <row r="27" spans="1:7" ht="8" customHeight="1">
      <c r="A27" s="238"/>
      <c r="B27" s="238"/>
      <c r="C27" s="238"/>
      <c r="D27" s="238"/>
      <c r="E27" s="238"/>
      <c r="F27" s="238"/>
      <c r="G27" s="238"/>
    </row>
    <row r="28" spans="1:7" ht="8.5" customHeight="1">
      <c r="A28" s="238"/>
      <c r="B28" s="238"/>
      <c r="C28" s="238"/>
      <c r="D28" s="238"/>
      <c r="E28" s="238"/>
      <c r="F28" s="238"/>
      <c r="G28" s="238"/>
    </row>
  </sheetData>
  <mergeCells count="2">
    <mergeCell ref="A21:G23"/>
    <mergeCell ref="A26:G28"/>
  </mergeCells>
  <pageMargins left="0.75" right="0.75" top="1" bottom="1" header="0.5" footer="0.5"/>
  <pageSetup orientation="portrait"/>
  <headerFooter>
    <oddFooter>&amp;C&amp;"Helvetica Neue,Regular"&amp;12&amp;K000000&amp;P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30"/>
  <sheetViews>
    <sheetView showGridLines="0" workbookViewId="0"/>
  </sheetViews>
  <sheetFormatPr baseColWidth="10" defaultColWidth="9.1640625" defaultRowHeight="16" customHeight="1"/>
  <cols>
    <col min="1" max="1" width="65.5" style="4" customWidth="1"/>
    <col min="2" max="4" width="15.6640625" style="4" customWidth="1"/>
    <col min="5" max="5" width="19.83203125" style="4" customWidth="1"/>
    <col min="6" max="6" width="15.6640625" style="4" customWidth="1"/>
    <col min="7" max="7" width="14.1640625" style="4" customWidth="1"/>
    <col min="8" max="8" width="15.6640625" style="4" customWidth="1"/>
    <col min="9" max="9" width="15.5" style="4" customWidth="1"/>
    <col min="10" max="10" width="15.6640625" style="4" customWidth="1"/>
    <col min="11" max="11" width="14.1640625" style="4" customWidth="1"/>
    <col min="12" max="12" width="11.5" style="4" customWidth="1"/>
    <col min="13" max="13" width="13.6640625" style="4" customWidth="1"/>
    <col min="14" max="14" width="9.1640625" style="4" customWidth="1"/>
    <col min="15" max="16384" width="9.1640625" style="4"/>
  </cols>
  <sheetData>
    <row r="1" spans="1:13" ht="17.5" customHeight="1">
      <c r="A1" s="8" t="s">
        <v>487</v>
      </c>
      <c r="B1" s="6"/>
      <c r="C1" s="6"/>
      <c r="D1" s="6"/>
      <c r="E1" s="6"/>
      <c r="F1" s="6"/>
      <c r="G1" s="6"/>
      <c r="H1" s="6"/>
      <c r="I1" s="49"/>
      <c r="J1" s="6"/>
      <c r="K1" s="6"/>
      <c r="L1" s="6"/>
      <c r="M1" s="6"/>
    </row>
    <row r="2" spans="1:13" ht="17.5" customHeight="1">
      <c r="A2" s="19" t="s">
        <v>488</v>
      </c>
      <c r="B2" s="6"/>
      <c r="C2" s="6"/>
      <c r="D2" s="6"/>
      <c r="E2" s="6"/>
      <c r="F2" s="6"/>
      <c r="G2" s="6"/>
      <c r="H2" s="6"/>
      <c r="I2" s="49"/>
      <c r="J2" s="6"/>
      <c r="K2" s="6"/>
      <c r="L2" s="6"/>
      <c r="M2" s="6"/>
    </row>
    <row r="3" spans="1:13" ht="13.75" customHeight="1">
      <c r="A3" s="6"/>
      <c r="B3" s="6"/>
      <c r="C3" s="6"/>
      <c r="D3" s="6"/>
      <c r="E3" s="6"/>
      <c r="F3" s="6"/>
      <c r="G3" s="6"/>
      <c r="H3" s="6"/>
      <c r="I3" s="49"/>
      <c r="J3" s="6"/>
      <c r="K3" s="6"/>
      <c r="L3" s="6"/>
      <c r="M3" s="6"/>
    </row>
    <row r="4" spans="1:13" ht="17.5" customHeight="1">
      <c r="A4" s="8" t="s">
        <v>489</v>
      </c>
      <c r="B4" s="6"/>
      <c r="C4" s="6"/>
      <c r="D4" s="6"/>
      <c r="E4" s="6"/>
      <c r="F4" s="6"/>
      <c r="G4" s="6"/>
      <c r="H4" s="6"/>
      <c r="I4" s="49"/>
      <c r="J4" s="6"/>
      <c r="K4" s="6"/>
      <c r="L4" s="6"/>
      <c r="M4" s="6"/>
    </row>
    <row r="5" spans="1:13" ht="22.5" customHeight="1">
      <c r="A5" s="110"/>
      <c r="B5" s="111"/>
      <c r="C5" s="111"/>
      <c r="D5" s="111"/>
      <c r="E5" s="111"/>
      <c r="F5" s="111"/>
      <c r="G5" s="111"/>
      <c r="H5" s="111"/>
      <c r="I5" s="49"/>
      <c r="J5" s="6"/>
      <c r="K5" s="6"/>
      <c r="L5" s="6"/>
      <c r="M5" s="6"/>
    </row>
    <row r="6" spans="1:13" ht="56" customHeight="1">
      <c r="A6" s="6"/>
      <c r="B6" s="6"/>
      <c r="C6" s="6"/>
      <c r="D6" s="235" t="s">
        <v>490</v>
      </c>
      <c r="E6" s="236"/>
      <c r="F6" s="41"/>
      <c r="G6" s="6"/>
      <c r="H6" s="6"/>
      <c r="I6" s="49"/>
      <c r="J6" s="6"/>
      <c r="K6" s="112"/>
      <c r="L6" s="112"/>
      <c r="M6" s="6"/>
    </row>
    <row r="7" spans="1:13" ht="94" customHeight="1">
      <c r="A7" s="113" t="s">
        <v>95</v>
      </c>
      <c r="B7" s="114" t="s">
        <v>491</v>
      </c>
      <c r="C7" s="21" t="s">
        <v>492</v>
      </c>
      <c r="D7" s="21" t="s">
        <v>493</v>
      </c>
      <c r="E7" s="21" t="s">
        <v>494</v>
      </c>
      <c r="F7" s="21" t="s">
        <v>495</v>
      </c>
      <c r="G7" s="21" t="s">
        <v>496</v>
      </c>
      <c r="H7" s="21" t="s">
        <v>497</v>
      </c>
      <c r="I7" s="21" t="s">
        <v>498</v>
      </c>
      <c r="J7" s="21" t="s">
        <v>499</v>
      </c>
      <c r="K7" s="21" t="s">
        <v>500</v>
      </c>
      <c r="L7" s="21" t="s">
        <v>501</v>
      </c>
      <c r="M7" s="21" t="s">
        <v>502</v>
      </c>
    </row>
    <row r="8" spans="1:13" ht="17.5" customHeight="1">
      <c r="A8" s="115">
        <v>1839</v>
      </c>
      <c r="B8" s="116">
        <f>'S14-Gallman (1966) Table A-1'!B7</f>
        <v>1.54</v>
      </c>
      <c r="C8" s="69">
        <f>B8*(1+'S15-Gallman (2000) Table 1.3'!$H$14)</f>
        <v>1.5890360258364209</v>
      </c>
      <c r="D8" s="69">
        <f>'S16-Gallman (1966) Table A-2'!E9</f>
        <v>0.36599999999999999</v>
      </c>
      <c r="E8" s="73">
        <f>('S17-Weiss 1975 Table 53'!B9+'S18-Gallman-Weiss Tables'!B17)/1000</f>
        <v>0.32139999999999996</v>
      </c>
      <c r="F8" s="69">
        <f>E8-'S25-Weiss 1975 table 72'!D8/1000000</f>
        <v>0.29655999999999993</v>
      </c>
      <c r="G8" s="69">
        <f>C8-D8+F8</f>
        <v>1.5195960258364209</v>
      </c>
      <c r="H8" s="69">
        <f>'S8-NFI 1820-1860'!B29/1000</f>
        <v>-1.3599999999999999E-2</v>
      </c>
      <c r="I8" s="117">
        <f>('S6-Trescott 1960'!$F$38-'S6-Trescott 1960'!$C$38)/1000</f>
        <v>2.1299999999999999E-2</v>
      </c>
      <c r="J8" s="40">
        <f>'S25-Weiss 1975 table 72'!$E$8</f>
        <v>0.18115942028985507</v>
      </c>
      <c r="K8" s="23">
        <f>I8/J8</f>
        <v>0.117576</v>
      </c>
      <c r="L8" s="69">
        <f>G8+K8</f>
        <v>1.6371720258364209</v>
      </c>
      <c r="M8" s="69">
        <f>L8-H8</f>
        <v>1.6507720258364209</v>
      </c>
    </row>
    <row r="9" spans="1:13" ht="17.5" customHeight="1">
      <c r="A9" s="115">
        <v>1849</v>
      </c>
      <c r="B9" s="116">
        <f>'S14-Gallman (1966) Table A-1'!B9</f>
        <v>2.3199999999999998</v>
      </c>
      <c r="C9" s="69">
        <f>B9*(1+'S15-Gallman (2000) Table 1.3'!$H$16)</f>
        <v>2.3916393368094546</v>
      </c>
      <c r="D9" s="69">
        <f>'S16-Gallman (1966) Table A-2'!E11</f>
        <v>0.56399999999999995</v>
      </c>
      <c r="E9" s="69">
        <f>('S17-Weiss 1975 Table 53'!C9+'S18-Gallman-Weiss Tables'!C17)/1000</f>
        <v>0.48919999999999997</v>
      </c>
      <c r="F9" s="69">
        <f>E9-'S25-Weiss 1975 table 72'!$D$9/1000000</f>
        <v>0.45881999999999995</v>
      </c>
      <c r="G9" s="69">
        <f>C9-D9+F9</f>
        <v>2.2864593368094543</v>
      </c>
      <c r="H9" s="69">
        <f>'S8-NFI 1820-1860'!B39/1000</f>
        <v>-1.1800000000000001E-2</v>
      </c>
      <c r="I9" s="117">
        <f>('S6-Trescott 1960'!$F$48-'S6-Trescott 1960'!$C$48)/1000</f>
        <v>3.2399999999999998E-2</v>
      </c>
      <c r="J9" s="40">
        <f>'S25-Weiss 1975 table 72'!$E$9</f>
        <v>0.23370638578011849</v>
      </c>
      <c r="K9" s="23">
        <f>I9/J9</f>
        <v>0.13863549295774649</v>
      </c>
      <c r="L9" s="69">
        <f>G9+K9</f>
        <v>2.4250948297672008</v>
      </c>
      <c r="M9" s="69">
        <f>L9-H9</f>
        <v>2.4368948297672008</v>
      </c>
    </row>
    <row r="10" spans="1:13" ht="17.5" customHeight="1">
      <c r="A10" s="115">
        <v>1859</v>
      </c>
      <c r="B10" s="116">
        <f>'S14-Gallman (1966) Table A-1'!B11</f>
        <v>4.17</v>
      </c>
      <c r="C10" s="69">
        <f>B10*(1+'S15-Gallman (2000) Table 1.3'!$G$17)</f>
        <v>4.2982560550257318</v>
      </c>
      <c r="D10" s="69">
        <f>'S16-Gallman (1966) Table A-2'!E13</f>
        <v>0.92400000000000004</v>
      </c>
      <c r="E10" s="118">
        <f>('S17-Weiss 1975 Table 53'!D9+'S18-Gallman-Weiss Tables'!D17)/1000</f>
        <v>0.84689999999999999</v>
      </c>
      <c r="F10" s="69">
        <f>E10-'S25-Weiss 1975 table 72'!$D$10/1000000</f>
        <v>0.77983000000000002</v>
      </c>
      <c r="G10" s="69">
        <f>C10-D10+F10</f>
        <v>4.1540860550257319</v>
      </c>
      <c r="H10" s="69">
        <f>'S8-NFI 1820-1860'!B49/1000</f>
        <v>-2.3399999999999997E-2</v>
      </c>
      <c r="I10" s="117">
        <f>('S6-Trescott 1960'!$F$58-'S6-Trescott 1960'!$C$58)/1000</f>
        <v>5.0900000000000001E-2</v>
      </c>
      <c r="J10" s="40">
        <f>'S25-Weiss 1975 table 72'!$E$10</f>
        <v>0.24750260921425377</v>
      </c>
      <c r="K10" s="23">
        <f>I10/J10</f>
        <v>0.20565439759036144</v>
      </c>
      <c r="L10" s="69">
        <f>G10+K10</f>
        <v>4.3597404526160934</v>
      </c>
      <c r="M10" s="69">
        <f>L10-H10</f>
        <v>4.3831404526160931</v>
      </c>
    </row>
    <row r="11" spans="1:13" ht="17.5" customHeight="1">
      <c r="A11" s="6"/>
      <c r="B11" s="6"/>
      <c r="C11" s="6"/>
      <c r="D11" s="6"/>
      <c r="E11" s="69"/>
      <c r="F11" s="6"/>
      <c r="G11" s="6"/>
      <c r="H11" s="6"/>
      <c r="I11" s="49"/>
      <c r="J11" s="6"/>
      <c r="K11" s="6"/>
      <c r="L11" s="6"/>
      <c r="M11" s="6"/>
    </row>
    <row r="12" spans="1:13" ht="17.5" customHeight="1">
      <c r="A12" s="8" t="s">
        <v>503</v>
      </c>
      <c r="B12" s="6"/>
      <c r="C12" s="6"/>
      <c r="D12" s="6"/>
      <c r="E12" s="6"/>
      <c r="F12" s="6"/>
      <c r="G12" s="6"/>
      <c r="H12" s="6"/>
      <c r="I12" s="49"/>
      <c r="J12" s="6"/>
      <c r="K12" s="6"/>
      <c r="L12" s="6"/>
      <c r="M12" s="6"/>
    </row>
    <row r="13" spans="1:13" ht="17.5" customHeight="1">
      <c r="A13" s="115">
        <v>1839</v>
      </c>
      <c r="B13" s="116">
        <f>'S19-Rhode Table 1 &amp; 2'!$AD$17/1000</f>
        <v>1.6225999999999998</v>
      </c>
      <c r="C13" s="69">
        <f>B13*(1+'S15-Gallman (2000) Table 1.3'!$H$14)</f>
        <v>1.6742661399494652</v>
      </c>
      <c r="D13" s="69">
        <f>'S16-Gallman (1966) Table A-2'!$E$26</f>
        <v>0.45700000000000002</v>
      </c>
      <c r="E13" s="8" t="s">
        <v>504</v>
      </c>
      <c r="F13" s="69">
        <f>100*F8/B18</f>
        <v>0.31246639999999987</v>
      </c>
      <c r="G13" s="69">
        <f>C13-D13+F13</f>
        <v>1.529732539949465</v>
      </c>
      <c r="H13" s="69">
        <f>'S8-NFI 1820-1860'!$E$29/1000</f>
        <v>-1.1049999999999999E-2</v>
      </c>
      <c r="I13" s="117">
        <f>100*I8/B18</f>
        <v>2.2442454545454543E-2</v>
      </c>
      <c r="J13" s="40">
        <f>100*J8/B18</f>
        <v>0.19087615283267456</v>
      </c>
      <c r="K13" s="69">
        <f>100*K8/B18</f>
        <v>0.12388234909090907</v>
      </c>
      <c r="L13" s="69">
        <f>G13+K13</f>
        <v>1.6536148890403741</v>
      </c>
      <c r="M13" s="69">
        <f>L13-H13</f>
        <v>1.6646648890403741</v>
      </c>
    </row>
    <row r="14" spans="1:13" ht="17.5" customHeight="1">
      <c r="A14" s="22">
        <v>1849</v>
      </c>
      <c r="B14" s="109">
        <f>'S19-Rhode Table 1 &amp; 2'!$AD$27/1000</f>
        <v>2.4291</v>
      </c>
      <c r="C14" s="69">
        <f>B14*(1+'S15-Gallman (2000) Table 1.3'!$H$16)</f>
        <v>2.5041082383809683</v>
      </c>
      <c r="D14" s="69">
        <f>'S16-Gallman (1966) Table A-2'!$E$28</f>
        <v>0.59399999999999997</v>
      </c>
      <c r="E14" s="8" t="s">
        <v>504</v>
      </c>
      <c r="F14" s="69">
        <f>100*F9/B19</f>
        <v>0.48039640603448275</v>
      </c>
      <c r="G14" s="69">
        <f>C14-D14+F14</f>
        <v>2.3905046444154512</v>
      </c>
      <c r="H14" s="69">
        <f>'S8-NFI 1820-1860'!$E$39/1000</f>
        <v>-1.3111111111111112E-2</v>
      </c>
      <c r="I14" s="117">
        <f>100*I9/B19</f>
        <v>3.3923637931034485E-2</v>
      </c>
      <c r="J14" s="40">
        <f>100*J9/B19</f>
        <v>0.24469663004245082</v>
      </c>
      <c r="K14" s="69">
        <f>100*K9/B19</f>
        <v>0.14515494652744054</v>
      </c>
      <c r="L14" s="69">
        <f>G14+K14</f>
        <v>2.5356595909428918</v>
      </c>
      <c r="M14" s="69">
        <f>L14-H14</f>
        <v>2.5487707020540031</v>
      </c>
    </row>
    <row r="15" spans="1:13" ht="17.5" customHeight="1">
      <c r="A15" s="115">
        <v>1859</v>
      </c>
      <c r="B15" s="116">
        <f>'S19-Rhode Table 1 &amp; 2'!$AD$37/1000</f>
        <v>4.0999000000000008</v>
      </c>
      <c r="C15" s="69">
        <f>B15*(1+'S15-Gallman (2000) Table 1.3'!$G$17)</f>
        <v>4.2260000000000009</v>
      </c>
      <c r="D15" s="69">
        <f>'S16-Gallman (1966) Table A-2'!$E$30</f>
        <v>0.91900000000000004</v>
      </c>
      <c r="E15" s="8" t="s">
        <v>504</v>
      </c>
      <c r="F15" s="69">
        <f>100*F10/B20</f>
        <v>0.76672062757793791</v>
      </c>
      <c r="G15" s="69">
        <f>C15-D15+F15</f>
        <v>4.0737206275779387</v>
      </c>
      <c r="H15" s="69">
        <f>'S8-NFI 1820-1860'!$E$49/1000</f>
        <v>-2.1728571428571427E-2</v>
      </c>
      <c r="I15" s="117">
        <f>100*I10/B20</f>
        <v>5.0044342925659485E-2</v>
      </c>
      <c r="J15" s="40">
        <f>100*J10/B20</f>
        <v>0.24334195384113172</v>
      </c>
      <c r="K15" s="69">
        <f>100*K10/B20</f>
        <v>0.20219723373638446</v>
      </c>
      <c r="L15" s="69">
        <f>G15+K15</f>
        <v>4.2759178613143236</v>
      </c>
      <c r="M15" s="69">
        <f>L15-H15</f>
        <v>4.2976464327428952</v>
      </c>
    </row>
    <row r="16" spans="1:13" ht="13.75" customHeight="1">
      <c r="A16" s="6"/>
      <c r="B16" s="6"/>
      <c r="C16" s="6"/>
      <c r="D16" s="6"/>
      <c r="E16" s="6"/>
      <c r="F16" s="6"/>
      <c r="G16" s="6"/>
      <c r="H16" s="6"/>
      <c r="I16" s="49"/>
      <c r="J16" s="6"/>
      <c r="K16" s="6"/>
      <c r="L16" s="6"/>
      <c r="M16" s="6"/>
    </row>
    <row r="17" spans="1:13" ht="17.5" customHeight="1">
      <c r="A17" s="8" t="s">
        <v>505</v>
      </c>
      <c r="B17" s="6"/>
      <c r="C17" s="6"/>
      <c r="D17" s="6"/>
      <c r="E17" s="6"/>
      <c r="F17" s="6"/>
      <c r="G17" s="6"/>
      <c r="H17" s="6"/>
      <c r="I17" s="49"/>
      <c r="J17" s="6"/>
      <c r="K17" s="6"/>
      <c r="L17" s="6"/>
      <c r="M17" s="6"/>
    </row>
    <row r="18" spans="1:13" ht="17.5" customHeight="1">
      <c r="A18" s="22">
        <v>1839</v>
      </c>
      <c r="B18" s="25">
        <f t="shared" ref="B18:I20" si="0">(B8/B13)*100</f>
        <v>94.909404659188965</v>
      </c>
      <c r="C18" s="25">
        <f t="shared" si="0"/>
        <v>94.909404659188965</v>
      </c>
      <c r="D18" s="25">
        <f t="shared" si="0"/>
        <v>80.087527352297585</v>
      </c>
      <c r="E18" s="25" t="e">
        <f t="shared" si="0"/>
        <v>#VALUE!</v>
      </c>
      <c r="F18" s="69">
        <f t="shared" si="0"/>
        <v>94.909404659188979</v>
      </c>
      <c r="G18" s="25">
        <f t="shared" si="0"/>
        <v>99.337366902492704</v>
      </c>
      <c r="H18" s="25">
        <f t="shared" si="0"/>
        <v>123.07692307692308</v>
      </c>
      <c r="I18" s="119">
        <f t="shared" si="0"/>
        <v>94.909404659188965</v>
      </c>
      <c r="J18" s="25">
        <f>(K8/K13)*100</f>
        <v>94.909404659188965</v>
      </c>
      <c r="K18" s="25">
        <f t="shared" ref="K18:M20" si="1">(K8/K13)*100</f>
        <v>94.909404659188965</v>
      </c>
      <c r="L18" s="25">
        <f t="shared" si="1"/>
        <v>99.005641318729573</v>
      </c>
      <c r="M18" s="25">
        <f t="shared" si="1"/>
        <v>99.165425828620556</v>
      </c>
    </row>
    <row r="19" spans="1:13" ht="17.5" customHeight="1">
      <c r="A19" s="22">
        <v>1849</v>
      </c>
      <c r="B19" s="25">
        <f t="shared" si="0"/>
        <v>95.508624593470827</v>
      </c>
      <c r="C19" s="25">
        <f t="shared" si="0"/>
        <v>95.508624593470827</v>
      </c>
      <c r="D19" s="25">
        <f t="shared" si="0"/>
        <v>94.949494949494948</v>
      </c>
      <c r="E19" s="25" t="e">
        <f t="shared" si="0"/>
        <v>#VALUE!</v>
      </c>
      <c r="F19" s="69">
        <f t="shared" si="0"/>
        <v>95.508624593470827</v>
      </c>
      <c r="G19" s="25">
        <f t="shared" si="0"/>
        <v>95.647558859629868</v>
      </c>
      <c r="H19" s="25">
        <f t="shared" si="0"/>
        <v>90.000000000000014</v>
      </c>
      <c r="I19" s="119">
        <f t="shared" si="0"/>
        <v>95.508624593470827</v>
      </c>
      <c r="J19" s="25">
        <f>(K9/K14)*100</f>
        <v>95.508624593470813</v>
      </c>
      <c r="K19" s="25">
        <f t="shared" si="1"/>
        <v>95.508624593470813</v>
      </c>
      <c r="L19" s="25">
        <f t="shared" si="1"/>
        <v>95.639605506566554</v>
      </c>
      <c r="M19" s="25">
        <f t="shared" si="1"/>
        <v>95.610594856703131</v>
      </c>
    </row>
    <row r="20" spans="1:13" ht="17.5" customHeight="1">
      <c r="A20" s="22">
        <v>1859</v>
      </c>
      <c r="B20" s="25">
        <f t="shared" si="0"/>
        <v>101.70979779994632</v>
      </c>
      <c r="C20" s="25">
        <f t="shared" si="0"/>
        <v>101.70979779994632</v>
      </c>
      <c r="D20" s="25">
        <f t="shared" si="0"/>
        <v>100.54406964091405</v>
      </c>
      <c r="E20" s="25" t="e">
        <f t="shared" si="0"/>
        <v>#VALUE!</v>
      </c>
      <c r="F20" s="69">
        <f t="shared" si="0"/>
        <v>101.70979779994632</v>
      </c>
      <c r="G20" s="25">
        <f t="shared" si="0"/>
        <v>101.97277709481946</v>
      </c>
      <c r="H20" s="25">
        <f t="shared" si="0"/>
        <v>107.69230769230769</v>
      </c>
      <c r="I20" s="119">
        <f t="shared" si="0"/>
        <v>101.70979779994632</v>
      </c>
      <c r="J20" s="25">
        <f>(K10/K15)*100</f>
        <v>101.70979779994632</v>
      </c>
      <c r="K20" s="25">
        <f t="shared" si="1"/>
        <v>101.70979779994632</v>
      </c>
      <c r="L20" s="25">
        <f t="shared" si="1"/>
        <v>101.96034147568973</v>
      </c>
      <c r="M20" s="25">
        <f t="shared" si="1"/>
        <v>101.9893218581649</v>
      </c>
    </row>
    <row r="21" spans="1:13" ht="13.75" customHeight="1">
      <c r="A21" s="6"/>
      <c r="B21" s="6"/>
      <c r="C21" s="6"/>
      <c r="D21" s="6"/>
      <c r="E21" s="6"/>
      <c r="F21" s="6"/>
      <c r="G21" s="6"/>
      <c r="H21" s="6"/>
      <c r="I21" s="49"/>
      <c r="J21" s="6"/>
      <c r="K21" s="6"/>
      <c r="L21" s="6"/>
      <c r="M21" s="6"/>
    </row>
    <row r="22" spans="1:13" ht="13.75" customHeight="1">
      <c r="A22" s="237" t="s">
        <v>506</v>
      </c>
      <c r="B22" s="238"/>
      <c r="C22" s="238"/>
      <c r="D22" s="238"/>
      <c r="E22" s="238"/>
      <c r="F22" s="238"/>
      <c r="G22" s="238"/>
      <c r="H22" s="6"/>
      <c r="I22" s="49"/>
      <c r="J22" s="6"/>
      <c r="K22" s="6"/>
      <c r="L22" s="6"/>
      <c r="M22" s="6"/>
    </row>
    <row r="23" spans="1:13" ht="13.75" customHeight="1">
      <c r="A23" s="238"/>
      <c r="B23" s="238"/>
      <c r="C23" s="238"/>
      <c r="D23" s="238"/>
      <c r="E23" s="238"/>
      <c r="F23" s="238"/>
      <c r="G23" s="238"/>
      <c r="H23" s="6"/>
      <c r="I23" s="49"/>
      <c r="J23" s="6"/>
      <c r="K23" s="6"/>
      <c r="L23" s="6"/>
      <c r="M23" s="6"/>
    </row>
    <row r="24" spans="1:13" ht="32.25" customHeight="1">
      <c r="A24" s="238"/>
      <c r="B24" s="238"/>
      <c r="C24" s="238"/>
      <c r="D24" s="238"/>
      <c r="E24" s="238"/>
      <c r="F24" s="238"/>
      <c r="G24" s="238"/>
      <c r="H24" s="6"/>
      <c r="I24" s="49"/>
      <c r="J24" s="6"/>
      <c r="K24" s="6"/>
      <c r="L24" s="6"/>
      <c r="M24" s="6"/>
    </row>
    <row r="25" spans="1:13" ht="13.75" customHeight="1">
      <c r="A25" s="6"/>
      <c r="B25" s="6"/>
      <c r="C25" s="6"/>
      <c r="D25" s="6"/>
      <c r="E25" s="6"/>
      <c r="F25" s="6"/>
      <c r="G25" s="6"/>
      <c r="H25" s="6"/>
      <c r="I25" s="49"/>
      <c r="J25" s="6"/>
      <c r="K25" s="6"/>
      <c r="L25" s="6"/>
      <c r="M25" s="6"/>
    </row>
    <row r="26" spans="1:13" ht="13.75" customHeight="1">
      <c r="A26" s="6"/>
      <c r="B26" s="6"/>
      <c r="C26" s="6"/>
      <c r="D26" s="6"/>
      <c r="E26" s="6"/>
      <c r="F26" s="6"/>
      <c r="G26" s="6"/>
      <c r="H26" s="6"/>
      <c r="I26" s="49"/>
      <c r="J26" s="6"/>
      <c r="K26" s="6"/>
      <c r="L26" s="6"/>
      <c r="M26" s="6"/>
    </row>
    <row r="27" spans="1:13" ht="13.75" customHeight="1">
      <c r="A27" s="6"/>
      <c r="B27" s="6"/>
      <c r="C27" s="6"/>
      <c r="D27" s="6"/>
      <c r="E27" s="6"/>
      <c r="F27" s="6"/>
      <c r="G27" s="6"/>
      <c r="H27" s="6"/>
      <c r="I27" s="49"/>
      <c r="J27" s="6"/>
      <c r="K27" s="6"/>
      <c r="L27" s="6"/>
      <c r="M27" s="6"/>
    </row>
    <row r="28" spans="1:13" ht="13.75" customHeight="1">
      <c r="A28" s="239"/>
      <c r="B28" s="238"/>
      <c r="C28" s="238"/>
      <c r="D28" s="238"/>
      <c r="E28" s="238"/>
      <c r="F28" s="238"/>
      <c r="G28" s="6"/>
      <c r="H28" s="6"/>
      <c r="I28" s="49"/>
      <c r="J28" s="6"/>
      <c r="K28" s="6"/>
      <c r="L28" s="6"/>
      <c r="M28" s="6"/>
    </row>
    <row r="29" spans="1:13" ht="13.75" customHeight="1">
      <c r="A29" s="238"/>
      <c r="B29" s="238"/>
      <c r="C29" s="238"/>
      <c r="D29" s="238"/>
      <c r="E29" s="238"/>
      <c r="F29" s="238"/>
      <c r="G29" s="6"/>
      <c r="H29" s="6"/>
      <c r="I29" s="49"/>
      <c r="J29" s="6"/>
      <c r="K29" s="6"/>
      <c r="L29" s="6"/>
      <c r="M29" s="6"/>
    </row>
    <row r="30" spans="1:13" ht="13.75" customHeight="1">
      <c r="A30" s="238"/>
      <c r="B30" s="238"/>
      <c r="C30" s="238"/>
      <c r="D30" s="238"/>
      <c r="E30" s="238"/>
      <c r="F30" s="238"/>
      <c r="G30" s="6"/>
      <c r="H30" s="6"/>
      <c r="I30" s="49"/>
      <c r="J30" s="6"/>
      <c r="K30" s="6"/>
      <c r="L30" s="6"/>
      <c r="M30" s="6"/>
    </row>
  </sheetData>
  <mergeCells count="3">
    <mergeCell ref="D6:E6"/>
    <mergeCell ref="A22:G24"/>
    <mergeCell ref="A28:F30"/>
  </mergeCells>
  <pageMargins left="0.75" right="0.75" top="1" bottom="1" header="0.5" footer="0.5"/>
  <pageSetup orientation="landscape"/>
  <headerFooter>
    <oddFooter>&amp;C&amp;"Helvetica Neue,Regular"&amp;12&amp;K000000&amp;P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31"/>
  <sheetViews>
    <sheetView showGridLines="0" workbookViewId="0"/>
  </sheetViews>
  <sheetFormatPr baseColWidth="10" defaultColWidth="9.1640625" defaultRowHeight="16" customHeight="1"/>
  <cols>
    <col min="1" max="1" width="6.83203125" style="4" customWidth="1"/>
    <col min="2" max="2" width="17" style="4" customWidth="1"/>
    <col min="3" max="3" width="18.83203125" style="4" customWidth="1"/>
    <col min="4" max="8" width="15.6640625" style="4" customWidth="1"/>
    <col min="9" max="9" width="13.83203125" style="4" customWidth="1"/>
    <col min="10" max="10" width="10.6640625" style="4" customWidth="1"/>
    <col min="11" max="12" width="15.6640625" style="4" customWidth="1"/>
    <col min="13" max="13" width="15.5" style="4" customWidth="1"/>
    <col min="14" max="14" width="15.6640625" style="4" customWidth="1"/>
    <col min="15" max="15" width="13.1640625" style="4" customWidth="1"/>
    <col min="16" max="16" width="9.1640625" style="4" customWidth="1"/>
    <col min="17" max="16384" width="9.1640625" style="4"/>
  </cols>
  <sheetData>
    <row r="1" spans="1:15" ht="17.5" customHeight="1">
      <c r="A1" s="8" t="s">
        <v>508</v>
      </c>
      <c r="B1" s="6"/>
      <c r="C1" s="6"/>
      <c r="D1" s="6"/>
      <c r="E1" s="6"/>
      <c r="F1" s="6"/>
      <c r="G1" s="6"/>
      <c r="H1" s="6"/>
      <c r="I1" s="6"/>
      <c r="J1" s="6"/>
      <c r="K1" s="6"/>
      <c r="L1" s="6"/>
      <c r="M1" s="6"/>
      <c r="N1" s="6"/>
      <c r="O1" s="6"/>
    </row>
    <row r="2" spans="1:15" ht="17.5" customHeight="1">
      <c r="A2" s="19" t="s">
        <v>509</v>
      </c>
      <c r="B2" s="37"/>
      <c r="C2" s="6"/>
      <c r="D2" s="6"/>
      <c r="E2" s="6"/>
      <c r="F2" s="6"/>
      <c r="G2" s="6"/>
      <c r="H2" s="6"/>
      <c r="I2" s="6"/>
      <c r="J2" s="6"/>
      <c r="K2" s="6"/>
      <c r="L2" s="6"/>
      <c r="M2" s="6"/>
      <c r="N2" s="6"/>
      <c r="O2" s="6"/>
    </row>
    <row r="3" spans="1:15" ht="13.75" customHeight="1">
      <c r="A3" s="6"/>
      <c r="B3" s="6"/>
      <c r="C3" s="6"/>
      <c r="D3" s="6"/>
      <c r="E3" s="6"/>
      <c r="F3" s="6"/>
      <c r="G3" s="6"/>
      <c r="H3" s="6"/>
      <c r="I3" s="6"/>
      <c r="J3" s="6"/>
      <c r="K3" s="6"/>
      <c r="L3" s="6"/>
      <c r="M3" s="6"/>
      <c r="N3" s="6"/>
      <c r="O3" s="6"/>
    </row>
    <row r="4" spans="1:15" ht="17.5" customHeight="1">
      <c r="A4" s="8" t="s">
        <v>489</v>
      </c>
      <c r="B4" s="6"/>
      <c r="C4" s="6"/>
      <c r="D4" s="6"/>
      <c r="E4" s="6"/>
      <c r="F4" s="6"/>
      <c r="G4" s="6"/>
      <c r="H4" s="6"/>
      <c r="I4" s="6"/>
      <c r="J4" s="6"/>
      <c r="K4" s="6"/>
      <c r="L4" s="6"/>
      <c r="M4" s="6"/>
      <c r="N4" s="6"/>
      <c r="O4" s="6"/>
    </row>
    <row r="5" spans="1:15" ht="23" customHeight="1">
      <c r="A5" s="110"/>
      <c r="B5" s="110"/>
      <c r="C5" s="111"/>
      <c r="D5" s="111"/>
      <c r="E5" s="111"/>
      <c r="F5" s="111"/>
      <c r="G5" s="111"/>
      <c r="H5" s="111"/>
      <c r="I5" s="111"/>
      <c r="J5" s="111"/>
      <c r="K5" s="6"/>
      <c r="L5" s="6"/>
      <c r="M5" s="6"/>
      <c r="N5" s="6"/>
      <c r="O5" s="6"/>
    </row>
    <row r="6" spans="1:15" ht="57.75" customHeight="1">
      <c r="A6" s="6"/>
      <c r="B6" s="6"/>
      <c r="C6" s="6"/>
      <c r="D6" s="235" t="s">
        <v>510</v>
      </c>
      <c r="E6" s="236"/>
      <c r="F6" s="235" t="s">
        <v>490</v>
      </c>
      <c r="G6" s="236"/>
      <c r="H6" s="41"/>
      <c r="I6" s="6"/>
      <c r="J6" s="6"/>
      <c r="K6" s="6"/>
      <c r="L6" s="120"/>
      <c r="M6" s="120"/>
      <c r="N6" s="120"/>
      <c r="O6" s="120"/>
    </row>
    <row r="7" spans="1:15" ht="63" customHeight="1">
      <c r="A7" s="21" t="s">
        <v>95</v>
      </c>
      <c r="B7" s="21" t="s">
        <v>491</v>
      </c>
      <c r="C7" s="21" t="s">
        <v>511</v>
      </c>
      <c r="D7" s="21" t="s">
        <v>493</v>
      </c>
      <c r="E7" s="21" t="s">
        <v>512</v>
      </c>
      <c r="F7" s="21" t="s">
        <v>493</v>
      </c>
      <c r="G7" s="21" t="s">
        <v>513</v>
      </c>
      <c r="H7" s="21" t="s">
        <v>495</v>
      </c>
      <c r="I7" s="21" t="s">
        <v>514</v>
      </c>
      <c r="J7" s="21" t="s">
        <v>515</v>
      </c>
      <c r="K7" s="21" t="s">
        <v>498</v>
      </c>
      <c r="L7" s="21" t="s">
        <v>500</v>
      </c>
      <c r="M7" s="21" t="s">
        <v>501</v>
      </c>
      <c r="N7" s="21" t="s">
        <v>502</v>
      </c>
      <c r="O7" s="6"/>
    </row>
    <row r="8" spans="1:15" ht="17.5" customHeight="1">
      <c r="A8" s="22">
        <v>1869</v>
      </c>
      <c r="B8" s="121">
        <f>'S20-Rhode Table 3'!$Z$12/1000</f>
        <v>7.3949999999999996</v>
      </c>
      <c r="C8" s="121">
        <f>B8*(1+'S15-Gallman (2000) Table 1.3'!$G$19)</f>
        <v>7.5168234084678653</v>
      </c>
      <c r="D8" s="122">
        <f>'S20-Rhode Table 3'!$F$12/1000</f>
        <v>0.40100000000000002</v>
      </c>
      <c r="E8" s="122">
        <f>'S21-Olney durables'!$B$9/1000</f>
        <v>0.40300000000000002</v>
      </c>
      <c r="F8" s="121">
        <f>'S20-Rhode Table 3'!$J$12/1000</f>
        <v>1.4990000000000001</v>
      </c>
      <c r="G8" s="121">
        <v>1.5417000000000001</v>
      </c>
      <c r="H8" s="121">
        <f>G8-'S25-Weiss 1975 table 72'!$D11/1000000</f>
        <v>1.4692690000000002</v>
      </c>
      <c r="I8" s="121">
        <f>C8-D8+E8-F8+H8</f>
        <v>7.4890924084678652</v>
      </c>
      <c r="J8" s="121">
        <f>'S9 -  NFI 1869-1899'!$B$15/1000</f>
        <v>-6.9099999999999995E-2</v>
      </c>
      <c r="K8" s="121">
        <f>'S7-Trescott 1966'!$D16/1000</f>
        <v>0.1288</v>
      </c>
      <c r="L8" s="121">
        <f>K8/'S25-Weiss 1975 table 72'!$E11</f>
        <v>0.28704962461538464</v>
      </c>
      <c r="M8" s="121">
        <f>I8+L8</f>
        <v>7.77614203308325</v>
      </c>
      <c r="N8" s="121">
        <f>M8-J8</f>
        <v>7.8452420330832497</v>
      </c>
      <c r="O8" s="6"/>
    </row>
    <row r="9" spans="1:15" ht="17.5" customHeight="1">
      <c r="A9" s="22">
        <v>1879</v>
      </c>
      <c r="B9" s="123">
        <f>'S20-Rhode Table 3'!$Z$22/1000</f>
        <v>8.7010000000000005</v>
      </c>
      <c r="C9" s="69">
        <f>'S20-Rhode Table 3'!$AC$22/1000</f>
        <v>9.0050000000000008</v>
      </c>
      <c r="D9" s="69">
        <f>'S20-Rhode Table 3'!$F22/1000</f>
        <v>0.46</v>
      </c>
      <c r="E9" s="69">
        <f>'S21-Olney durables'!$B19/1000</f>
        <v>0.47799999999999998</v>
      </c>
      <c r="F9" s="69">
        <f>'S20-Rhode Table 3'!$J$22/1000</f>
        <v>2.0459999999999998</v>
      </c>
      <c r="G9" s="69">
        <v>1.9615</v>
      </c>
      <c r="H9" s="69">
        <f>G9-'S25-Weiss 1975 table 72'!$D12/1000000</f>
        <v>1.8665750000000001</v>
      </c>
      <c r="I9" s="69">
        <f>C9-D9+E9-F9+H9</f>
        <v>8.8435750000000013</v>
      </c>
      <c r="J9" s="69">
        <f>'S9 -  NFI 1869-1899'!$B$25/1000</f>
        <v>-7.8E-2</v>
      </c>
      <c r="K9" s="28"/>
      <c r="L9" s="69">
        <f>('S24-Kendrick government'!$C$5+'S24-Kendrick government'!$C$6)/2000</f>
        <v>0.4375</v>
      </c>
      <c r="M9" s="69">
        <f>I9+L9</f>
        <v>9.2810750000000013</v>
      </c>
      <c r="N9" s="69">
        <f>M9-J9</f>
        <v>9.3590750000000007</v>
      </c>
      <c r="O9" s="6"/>
    </row>
    <row r="10" spans="1:15" ht="17.5" customHeight="1">
      <c r="A10" s="22">
        <v>1889</v>
      </c>
      <c r="B10" s="123">
        <f>'S20-Rhode Table 3'!$Z$32/1000</f>
        <v>12.163</v>
      </c>
      <c r="C10" s="69">
        <f>'S20-Rhode Table 3'!$AC$32/1000</f>
        <v>12.472</v>
      </c>
      <c r="D10" s="69">
        <f>'S20-Rhode Table 3'!$F32/1000</f>
        <v>0.76500000000000001</v>
      </c>
      <c r="E10" s="69">
        <f>'S21-Olney durables'!$B29/1000</f>
        <v>0.77</v>
      </c>
      <c r="F10" s="69">
        <f>'S20-Rhode Table 3'!$J$32/1000</f>
        <v>2.5979999999999999</v>
      </c>
      <c r="G10" s="69">
        <v>3.4485999999999999</v>
      </c>
      <c r="H10" s="69">
        <f>G10-'S25-Weiss 1975 table 72'!$D8/1000000</f>
        <v>3.4237599999999997</v>
      </c>
      <c r="I10" s="69">
        <f>C10-D10+E10-F10+H10</f>
        <v>13.302759999999997</v>
      </c>
      <c r="J10" s="69">
        <f>'S9 -  NFI 1869-1899'!B35/1000</f>
        <v>-0.1181</v>
      </c>
      <c r="K10" s="28"/>
      <c r="L10" s="69">
        <f>'S24-Kendrick government'!$C$7/1000</f>
        <v>0.623</v>
      </c>
      <c r="M10" s="69">
        <f>I10+L10</f>
        <v>13.925759999999997</v>
      </c>
      <c r="N10" s="69">
        <f>M10-J10</f>
        <v>14.043859999999997</v>
      </c>
      <c r="O10" s="6"/>
    </row>
    <row r="11" spans="1:15" ht="17.5" customHeight="1">
      <c r="A11" s="22">
        <v>1899</v>
      </c>
      <c r="B11" s="123">
        <f>'S20-Rhode Table 3'!$Z$49/1000</f>
        <v>27.053000000000001</v>
      </c>
      <c r="C11" s="69">
        <f>'S20-Rhode Table 3'!$AC$42/1000</f>
        <v>17.451000000000001</v>
      </c>
      <c r="D11" s="69">
        <f>'S20-Rhode Table 3'!$F42/1000</f>
        <v>0.98099999999999998</v>
      </c>
      <c r="E11" s="69">
        <v>0.99199999999999999</v>
      </c>
      <c r="F11" s="69">
        <f>'S20-Rhode Table 3'!$J$42/1000</f>
        <v>3.78</v>
      </c>
      <c r="G11" s="69">
        <v>4.8331</v>
      </c>
      <c r="H11" s="69">
        <f>G11-'S25-Weiss 1975 table 72'!$D9/1000000</f>
        <v>4.8027199999999999</v>
      </c>
      <c r="I11" s="69">
        <f>C11-D11+E11-F11+H11</f>
        <v>18.484719999999999</v>
      </c>
      <c r="J11" s="69">
        <f>'S9 -  NFI 1869-1899'!B45/1000</f>
        <v>-0.12440000000000001</v>
      </c>
      <c r="K11" s="28"/>
      <c r="L11" s="69">
        <f>'S24-Kendrick government'!$C$17/1000</f>
        <v>1.0980000000000001</v>
      </c>
      <c r="M11" s="69">
        <f>I11+L11</f>
        <v>19.582719999999998</v>
      </c>
      <c r="N11" s="69">
        <f>M11-J11</f>
        <v>19.70712</v>
      </c>
      <c r="O11" s="6"/>
    </row>
    <row r="12" spans="1:15" ht="17.5" customHeight="1">
      <c r="A12" s="22">
        <v>1909</v>
      </c>
      <c r="B12" s="123">
        <f>'S20-Rhode Table 3'!$Z$52/1000</f>
        <v>29.463999999999999</v>
      </c>
      <c r="C12" s="69">
        <f>'S20-Rhode Table 3'!$AC$52/1000</f>
        <v>31.207999999999998</v>
      </c>
      <c r="D12" s="69">
        <f>'S20-Rhode Table 3'!$F52/1000</f>
        <v>1.37</v>
      </c>
      <c r="E12" s="69">
        <f>'S21-Olney durables'!$B$49/1000</f>
        <v>1.839</v>
      </c>
      <c r="F12" s="69">
        <f>'S20-Rhode Table 3'!$J$52/1000</f>
        <v>7.54</v>
      </c>
      <c r="G12" s="28"/>
      <c r="H12" s="28"/>
      <c r="I12" s="69">
        <f>C12-D12+E12</f>
        <v>31.676999999999996</v>
      </c>
      <c r="J12" s="69">
        <f>'S10 - NFI 1900-1909'!$D$15/1000</f>
        <v>-6.4000000000000001E-2</v>
      </c>
      <c r="K12" s="28"/>
      <c r="L12" s="69">
        <f>'S24-Kendrick government'!$C$27/1000</f>
        <v>1.9239999999999999</v>
      </c>
      <c r="M12" s="69">
        <f>I12+L12</f>
        <v>33.600999999999999</v>
      </c>
      <c r="N12" s="69">
        <f>M12-J12</f>
        <v>33.664999999999999</v>
      </c>
      <c r="O12" s="6"/>
    </row>
    <row r="13" spans="1:15" ht="17.5" customHeight="1">
      <c r="A13" s="6"/>
      <c r="B13" s="6"/>
      <c r="C13" s="6"/>
      <c r="D13" s="6"/>
      <c r="E13" s="6"/>
      <c r="F13" s="6"/>
      <c r="G13" s="40"/>
      <c r="H13" s="6"/>
      <c r="I13" s="6"/>
      <c r="J13" s="6"/>
      <c r="K13" s="6"/>
      <c r="L13" s="6"/>
      <c r="M13" s="6"/>
      <c r="N13" s="6"/>
      <c r="O13" s="6"/>
    </row>
    <row r="14" spans="1:15" ht="17.5" customHeight="1">
      <c r="A14" s="8" t="s">
        <v>503</v>
      </c>
      <c r="B14" s="6"/>
      <c r="C14" s="6"/>
      <c r="D14" s="6"/>
      <c r="E14" s="6"/>
      <c r="F14" s="6"/>
      <c r="G14" s="6"/>
      <c r="H14" s="6"/>
      <c r="I14" s="6"/>
      <c r="J14" s="6"/>
      <c r="K14" s="28"/>
      <c r="L14" s="6"/>
      <c r="M14" s="6"/>
      <c r="N14" s="6"/>
      <c r="O14" s="6"/>
    </row>
    <row r="15" spans="1:15" ht="17.5" customHeight="1">
      <c r="A15" s="22">
        <v>1869</v>
      </c>
      <c r="B15" s="121">
        <f>'S19-Rhode Table 1 &amp; 2'!$AD$39/1000</f>
        <v>5.3470000000000004</v>
      </c>
      <c r="C15" s="121">
        <f>B15*(1+'S15-Gallman (2000) Table 1.3'!$G$19)</f>
        <v>5.4350851609300443</v>
      </c>
      <c r="D15" s="122">
        <f>'S19-Rhode Table 1 &amp; 2'!$F$39/1000</f>
        <v>0.34899999999999998</v>
      </c>
      <c r="E15" s="122">
        <f>E8/(D23/100)</f>
        <v>0.35074064837905233</v>
      </c>
      <c r="F15" s="121">
        <f>'S19-Rhode Table 1 &amp; 2'!$J$39/1000</f>
        <v>1.0089999999999999</v>
      </c>
      <c r="G15" s="6"/>
      <c r="H15" s="121">
        <f>H8/(C23/100)</f>
        <v>1.0623639409060177</v>
      </c>
      <c r="I15" s="121">
        <f>C15-D15+E15-F15+H15</f>
        <v>5.490189750215114</v>
      </c>
      <c r="J15" s="121">
        <f>'S9 -  NFI 1869-1899'!$F15/1000</f>
        <v>-6.6464344941956882E-2</v>
      </c>
      <c r="K15" s="6"/>
      <c r="L15" s="121">
        <f>L8/(C23/100)</f>
        <v>0.20755298753461282</v>
      </c>
      <c r="M15" s="121">
        <f>I15+L15</f>
        <v>5.6977427377497269</v>
      </c>
      <c r="N15" s="121">
        <f>M15-J15</f>
        <v>5.7642070826916836</v>
      </c>
      <c r="O15" s="6"/>
    </row>
    <row r="16" spans="1:15" ht="17.5" customHeight="1">
      <c r="A16" s="22">
        <v>1879</v>
      </c>
      <c r="B16" s="123">
        <f>'S19-Rhode Table 1 &amp; 2'!$AD$49/1000</f>
        <v>8.3361000000000001</v>
      </c>
      <c r="C16" s="69">
        <f>'S19-Rhode Table 1 &amp; 2'!$AG$49/1000</f>
        <v>8.6851000000000003</v>
      </c>
      <c r="D16" s="69">
        <f>'S19-Rhode Table 1 &amp; 2'!$F49/1000</f>
        <v>0.55000000000000004</v>
      </c>
      <c r="E16" s="124">
        <f>E9/(D24/100)</f>
        <v>0.5715217391304348</v>
      </c>
      <c r="F16" s="69">
        <f>'S19-Rhode Table 1 &amp; 2'!$J$49/1000</f>
        <v>1.6379999999999999</v>
      </c>
      <c r="G16" s="6"/>
      <c r="H16" s="69">
        <f>H9/(C24/100)</f>
        <v>1.8002654672404221</v>
      </c>
      <c r="I16" s="69">
        <f>C16-D16+E16-F16+H16</f>
        <v>8.8688872063708555</v>
      </c>
      <c r="J16" s="69">
        <f>'S9 -  NFI 1869-1899'!$F25/1000</f>
        <v>-7.4533333333333326E-2</v>
      </c>
      <c r="K16" s="6"/>
      <c r="L16" s="69">
        <f>L9/(C24/100)</f>
        <v>0.42195794003331483</v>
      </c>
      <c r="M16" s="69">
        <f>I16+L16</f>
        <v>9.2908451464041697</v>
      </c>
      <c r="N16" s="69">
        <f>M16-J16</f>
        <v>9.3653784797375028</v>
      </c>
      <c r="O16" s="6"/>
    </row>
    <row r="17" spans="1:15" ht="17.5" customHeight="1">
      <c r="A17" s="22">
        <v>1889</v>
      </c>
      <c r="B17" s="123">
        <f>'S19-Rhode Table 1 &amp; 2'!$AD$59/1000</f>
        <v>12.4261</v>
      </c>
      <c r="C17" s="69">
        <f>'S19-Rhode Table 1 &amp; 2'!$AG$59/1000</f>
        <v>13.059100000000001</v>
      </c>
      <c r="D17" s="69">
        <f>'S19-Rhode Table 1 &amp; 2'!$F59/1000</f>
        <v>1.0880000000000001</v>
      </c>
      <c r="E17" s="124">
        <f>E10/(D25/100)</f>
        <v>1.0951111111111111</v>
      </c>
      <c r="F17" s="69">
        <f>'S19-Rhode Table 1 &amp; 2'!$J$59/1000</f>
        <v>1.837</v>
      </c>
      <c r="G17" s="6"/>
      <c r="H17" s="69">
        <f>H10/(C25/100)</f>
        <v>3.5849281763951253</v>
      </c>
      <c r="I17" s="69">
        <f>C17-D17+E17-F17+H17</f>
        <v>14.814139287506237</v>
      </c>
      <c r="J17" s="69">
        <f>'S9 -  NFI 1869-1899'!$F35/1000</f>
        <v>-0.10976610956360258</v>
      </c>
      <c r="K17" s="6"/>
      <c r="L17" s="69">
        <f>L10/(C25/100)</f>
        <v>0.65232675593329059</v>
      </c>
      <c r="M17" s="69">
        <f>I17+L17</f>
        <v>15.466466043439528</v>
      </c>
      <c r="N17" s="69">
        <f>M17-J17</f>
        <v>15.576232153003131</v>
      </c>
      <c r="O17" s="6"/>
    </row>
    <row r="18" spans="1:15" ht="17.5" customHeight="1">
      <c r="A18" s="22">
        <v>1899</v>
      </c>
      <c r="B18" s="123">
        <f>'S19-Rhode Table 1 &amp; 2'!$AD$69/1000</f>
        <v>17.527200000000001</v>
      </c>
      <c r="C18" s="69">
        <f>'S19-Rhode Table 1 &amp; 2'!$AG$69/1000</f>
        <v>18.3062</v>
      </c>
      <c r="D18" s="69">
        <f>'S19-Rhode Table 1 &amp; 2'!$F69/1000</f>
        <v>1.403</v>
      </c>
      <c r="E18" s="124">
        <f>E11/(D26/100)</f>
        <v>1.4187319062181449</v>
      </c>
      <c r="F18" s="69">
        <f>'S19-Rhode Table 1 &amp; 2'!$J$69/1000</f>
        <v>2.6019999999999999</v>
      </c>
      <c r="G18" s="6"/>
      <c r="H18" s="69">
        <f>H11/(C26/100)</f>
        <v>5.038081076385307</v>
      </c>
      <c r="I18" s="69">
        <f>C18-D18+E18-F18+H18</f>
        <v>20.758012982603454</v>
      </c>
      <c r="J18" s="69">
        <f>'S9 -  NFI 1869-1899'!$F45/1000</f>
        <v>-0.10998959810874706</v>
      </c>
      <c r="K18" s="6"/>
      <c r="L18" s="69">
        <f>L11/(C26/100)</f>
        <v>1.1518083548220732</v>
      </c>
      <c r="M18" s="69">
        <f>I18+L18</f>
        <v>21.909821337425527</v>
      </c>
      <c r="N18" s="69">
        <f>M18-J18</f>
        <v>22.019810935534274</v>
      </c>
      <c r="O18" s="6"/>
    </row>
    <row r="19" spans="1:15" ht="17.5" customHeight="1">
      <c r="A19" s="22">
        <v>1909</v>
      </c>
      <c r="B19" s="123">
        <f>'S19-Rhode Table 1 &amp; 2'!$AD$79/1000</f>
        <v>25.8004</v>
      </c>
      <c r="C19" s="69">
        <f>'S19-Rhode Table 1 &amp; 2'!$AG$79/1000</f>
        <v>26.760400000000001</v>
      </c>
      <c r="D19" s="69">
        <f>'S19-Rhode Table 1 &amp; 2'!$F79/1000</f>
        <v>2.0430000000000001</v>
      </c>
      <c r="E19" s="124">
        <f>E12/(D27/100)</f>
        <v>2.7423919708029199</v>
      </c>
      <c r="F19" s="69">
        <f>'S19-Rhode Table 1 &amp; 2'!$J$79/1000</f>
        <v>4.4290000000000003</v>
      </c>
      <c r="G19" s="6"/>
      <c r="H19" s="28"/>
      <c r="I19" s="69">
        <f>C19-D19+E19</f>
        <v>27.459791970802922</v>
      </c>
      <c r="J19" s="69">
        <f>J12/(C27/100)</f>
        <v>-5.4879056652140476E-2</v>
      </c>
      <c r="K19" s="6"/>
      <c r="L19" s="69">
        <f>L12/(C27/100)</f>
        <v>1.6498016406049731</v>
      </c>
      <c r="M19" s="69">
        <f>I19+L19</f>
        <v>29.109593611407895</v>
      </c>
      <c r="N19" s="69">
        <f>M19-J19</f>
        <v>29.164472668060036</v>
      </c>
      <c r="O19" s="6"/>
    </row>
    <row r="20" spans="1:15" ht="13.75" customHeight="1">
      <c r="A20" s="6"/>
      <c r="B20" s="6"/>
      <c r="C20" s="6"/>
      <c r="D20" s="6"/>
      <c r="E20" s="6"/>
      <c r="F20" s="6"/>
      <c r="G20" s="6"/>
      <c r="H20" s="6"/>
      <c r="I20" s="6"/>
      <c r="J20" s="6"/>
      <c r="K20" s="6"/>
      <c r="L20" s="6"/>
      <c r="M20" s="6"/>
      <c r="N20" s="6"/>
      <c r="O20" s="6"/>
    </row>
    <row r="21" spans="1:15" ht="17.5" customHeight="1">
      <c r="A21" s="8" t="s">
        <v>505</v>
      </c>
      <c r="B21" s="6"/>
      <c r="C21" s="6"/>
      <c r="D21" s="6"/>
      <c r="E21" s="6"/>
      <c r="F21" s="6"/>
      <c r="G21" s="6"/>
      <c r="H21" s="6"/>
      <c r="I21" s="6"/>
      <c r="J21" s="6"/>
      <c r="K21" s="6"/>
      <c r="L21" s="6"/>
      <c r="M21" s="6"/>
      <c r="N21" s="6"/>
      <c r="O21" s="6"/>
    </row>
    <row r="22" spans="1:15" ht="13.75" customHeight="1">
      <c r="A22" s="6"/>
      <c r="B22" s="6"/>
      <c r="C22" s="6"/>
      <c r="D22" s="6"/>
      <c r="E22" s="6"/>
      <c r="F22" s="6"/>
      <c r="G22" s="6"/>
      <c r="H22" s="6"/>
      <c r="I22" s="6"/>
      <c r="J22" s="6"/>
      <c r="K22" s="6"/>
      <c r="L22" s="6"/>
      <c r="M22" s="6"/>
      <c r="N22" s="6"/>
      <c r="O22" s="6"/>
    </row>
    <row r="23" spans="1:15" ht="17.5" customHeight="1">
      <c r="A23" s="125">
        <v>1869</v>
      </c>
      <c r="B23" s="126">
        <f t="shared" ref="B23:F27" si="0">(B8/B15)*100</f>
        <v>138.30185150551711</v>
      </c>
      <c r="C23" s="127">
        <f t="shared" si="0"/>
        <v>138.30185150551711</v>
      </c>
      <c r="D23" s="127">
        <f t="shared" si="0"/>
        <v>114.89971346704873</v>
      </c>
      <c r="E23" s="128">
        <f t="shared" si="0"/>
        <v>114.89971346704873</v>
      </c>
      <c r="F23" s="127">
        <f t="shared" si="0"/>
        <v>148.56293359762142</v>
      </c>
      <c r="G23" s="6"/>
      <c r="H23" s="121">
        <f>(H8/H15)*100</f>
        <v>138.30185150551711</v>
      </c>
      <c r="I23" s="127">
        <f>(I8/I15)*100</f>
        <v>136.40862609847738</v>
      </c>
      <c r="J23" s="127">
        <f>(J8/J15)*100</f>
        <v>103.9655172413793</v>
      </c>
      <c r="K23" s="127"/>
      <c r="L23" s="127">
        <f t="shared" ref="L23:N27" si="1">(L8/L15)*100</f>
        <v>138.30185150551711</v>
      </c>
      <c r="M23" s="127">
        <f t="shared" si="1"/>
        <v>136.47759105660094</v>
      </c>
      <c r="N23" s="127">
        <f t="shared" si="1"/>
        <v>136.10270971423523</v>
      </c>
      <c r="O23" s="6"/>
    </row>
    <row r="24" spans="1:15" ht="17.5" customHeight="1">
      <c r="A24" s="22">
        <v>1879</v>
      </c>
      <c r="B24" s="128">
        <f t="shared" si="0"/>
        <v>104.37734672088868</v>
      </c>
      <c r="C24" s="25">
        <f t="shared" si="0"/>
        <v>103.68331970846623</v>
      </c>
      <c r="D24" s="25">
        <f t="shared" si="0"/>
        <v>83.636363636363626</v>
      </c>
      <c r="E24" s="128">
        <f t="shared" si="0"/>
        <v>83.636363636363626</v>
      </c>
      <c r="F24" s="25">
        <f t="shared" si="0"/>
        <v>124.90842490842491</v>
      </c>
      <c r="G24" s="6"/>
      <c r="H24" s="69">
        <f>(E9/E16)*100</f>
        <v>83.636363636363626</v>
      </c>
      <c r="I24" s="25">
        <f t="shared" ref="I24:J27" si="2">(I9/I16)*100</f>
        <v>99.714595464099816</v>
      </c>
      <c r="J24" s="25">
        <f t="shared" si="2"/>
        <v>104.65116279069768</v>
      </c>
      <c r="K24" s="25"/>
      <c r="L24" s="25">
        <f t="shared" si="1"/>
        <v>103.68331970846623</v>
      </c>
      <c r="M24" s="25">
        <f t="shared" si="1"/>
        <v>99.894841144694468</v>
      </c>
      <c r="N24" s="25">
        <f t="shared" si="1"/>
        <v>99.932693806757086</v>
      </c>
      <c r="O24" s="6"/>
    </row>
    <row r="25" spans="1:15" ht="17.5" customHeight="1">
      <c r="A25" s="22">
        <v>1889</v>
      </c>
      <c r="B25" s="128">
        <f t="shared" si="0"/>
        <v>97.882682418457918</v>
      </c>
      <c r="C25" s="25">
        <f t="shared" si="0"/>
        <v>95.504284368754341</v>
      </c>
      <c r="D25" s="25">
        <f t="shared" si="0"/>
        <v>70.3125</v>
      </c>
      <c r="E25" s="128">
        <f t="shared" si="0"/>
        <v>70.3125</v>
      </c>
      <c r="F25" s="25">
        <f t="shared" si="0"/>
        <v>141.42623843222646</v>
      </c>
      <c r="G25" s="6"/>
      <c r="H25" s="69">
        <f>(H10/H17)*100</f>
        <v>95.504284368754341</v>
      </c>
      <c r="I25" s="25">
        <f t="shared" si="2"/>
        <v>89.79772460502727</v>
      </c>
      <c r="J25" s="25">
        <f t="shared" si="2"/>
        <v>107.5924075924076</v>
      </c>
      <c r="K25" s="25"/>
      <c r="L25" s="25">
        <f t="shared" si="1"/>
        <v>95.504284368754355</v>
      </c>
      <c r="M25" s="25">
        <f t="shared" si="1"/>
        <v>90.038409297170645</v>
      </c>
      <c r="N25" s="25">
        <f t="shared" si="1"/>
        <v>90.162112775728701</v>
      </c>
      <c r="O25" s="6"/>
    </row>
    <row r="26" spans="1:15" ht="17.5" customHeight="1">
      <c r="A26" s="22">
        <v>1899</v>
      </c>
      <c r="B26" s="128">
        <f t="shared" si="0"/>
        <v>154.34866949655392</v>
      </c>
      <c r="C26" s="25">
        <f t="shared" si="0"/>
        <v>95.328358698145991</v>
      </c>
      <c r="D26" s="25">
        <f t="shared" si="0"/>
        <v>69.92159657875979</v>
      </c>
      <c r="E26" s="128">
        <f t="shared" si="0"/>
        <v>69.92159657875979</v>
      </c>
      <c r="F26" s="25">
        <f t="shared" si="0"/>
        <v>145.27286702536512</v>
      </c>
      <c r="G26" s="6"/>
      <c r="H26" s="69">
        <f>(H11/H18)*100</f>
        <v>95.328358698145991</v>
      </c>
      <c r="I26" s="25">
        <f t="shared" si="2"/>
        <v>89.048600246523506</v>
      </c>
      <c r="J26" s="25">
        <f t="shared" si="2"/>
        <v>113.10160427807486</v>
      </c>
      <c r="K26" s="25"/>
      <c r="L26" s="25">
        <f t="shared" si="1"/>
        <v>95.328358698145991</v>
      </c>
      <c r="M26" s="25">
        <f t="shared" si="1"/>
        <v>89.378729741394736</v>
      </c>
      <c r="N26" s="25">
        <f t="shared" si="1"/>
        <v>89.497226191882561</v>
      </c>
      <c r="O26" s="6"/>
    </row>
    <row r="27" spans="1:15" ht="17.5" customHeight="1">
      <c r="A27" s="22">
        <v>1909</v>
      </c>
      <c r="B27" s="128">
        <f t="shared" si="0"/>
        <v>114.19977984837443</v>
      </c>
      <c r="C27" s="25">
        <f t="shared" si="0"/>
        <v>116.62008041733307</v>
      </c>
      <c r="D27" s="25">
        <f t="shared" si="0"/>
        <v>67.058247674987754</v>
      </c>
      <c r="E27" s="128">
        <f t="shared" si="0"/>
        <v>67.058247674987754</v>
      </c>
      <c r="F27" s="25">
        <f t="shared" si="0"/>
        <v>170.24158952359448</v>
      </c>
      <c r="G27" s="6"/>
      <c r="H27" s="25"/>
      <c r="I27" s="25">
        <f t="shared" si="2"/>
        <v>115.35775665628162</v>
      </c>
      <c r="J27" s="25">
        <f t="shared" si="2"/>
        <v>116.62008041733307</v>
      </c>
      <c r="K27" s="25"/>
      <c r="L27" s="25">
        <f t="shared" si="1"/>
        <v>116.62008041733307</v>
      </c>
      <c r="M27" s="25">
        <f t="shared" si="1"/>
        <v>115.4292995242364</v>
      </c>
      <c r="N27" s="25">
        <f t="shared" si="1"/>
        <v>115.43154022760298</v>
      </c>
      <c r="O27" s="6"/>
    </row>
    <row r="28" spans="1:15" ht="13.75" customHeight="1">
      <c r="A28" s="6"/>
      <c r="B28" s="6"/>
      <c r="C28" s="6"/>
      <c r="D28" s="6"/>
      <c r="E28" s="6"/>
      <c r="F28" s="6"/>
      <c r="G28" s="6"/>
      <c r="H28" s="6"/>
      <c r="I28" s="6"/>
      <c r="J28" s="6"/>
      <c r="K28" s="6"/>
      <c r="L28" s="6"/>
      <c r="M28" s="6"/>
      <c r="N28" s="6"/>
      <c r="O28" s="6"/>
    </row>
    <row r="29" spans="1:15" ht="15.75" customHeight="1">
      <c r="A29" s="237" t="s">
        <v>506</v>
      </c>
      <c r="B29" s="238"/>
      <c r="C29" s="238"/>
      <c r="D29" s="238"/>
      <c r="E29" s="238"/>
      <c r="F29" s="238"/>
      <c r="G29" s="238"/>
      <c r="H29" s="6"/>
      <c r="I29" s="6"/>
      <c r="J29" s="6"/>
      <c r="K29" s="6"/>
      <c r="L29" s="6"/>
      <c r="M29" s="6"/>
      <c r="N29" s="6"/>
      <c r="O29" s="6"/>
    </row>
    <row r="30" spans="1:15" ht="13.75" customHeight="1">
      <c r="A30" s="238"/>
      <c r="B30" s="238"/>
      <c r="C30" s="238"/>
      <c r="D30" s="238"/>
      <c r="E30" s="238"/>
      <c r="F30" s="238"/>
      <c r="G30" s="238"/>
      <c r="H30" s="6"/>
      <c r="I30" s="6"/>
      <c r="J30" s="6"/>
      <c r="K30" s="6"/>
      <c r="L30" s="6"/>
      <c r="M30" s="6"/>
      <c r="N30" s="6"/>
      <c r="O30" s="6"/>
    </row>
    <row r="31" spans="1:15" ht="42" customHeight="1">
      <c r="A31" s="238"/>
      <c r="B31" s="238"/>
      <c r="C31" s="238"/>
      <c r="D31" s="238"/>
      <c r="E31" s="238"/>
      <c r="F31" s="238"/>
      <c r="G31" s="238"/>
      <c r="H31" s="6"/>
      <c r="I31" s="6"/>
      <c r="J31" s="6"/>
      <c r="K31" s="6"/>
      <c r="L31" s="6"/>
      <c r="M31" s="6"/>
      <c r="N31" s="6"/>
      <c r="O31" s="6"/>
    </row>
  </sheetData>
  <mergeCells count="3">
    <mergeCell ref="D6:E6"/>
    <mergeCell ref="F6:G6"/>
    <mergeCell ref="A29:G31"/>
  </mergeCells>
  <pageMargins left="0.75" right="0.75" top="1" bottom="1" header="0.5" footer="0.5"/>
  <pageSetup orientation="landscape"/>
  <headerFooter>
    <oddFooter>&amp;C&amp;"Helvetica Neue,Regular"&amp;12&amp;K000000&amp;P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130"/>
  <sheetViews>
    <sheetView showGridLines="0" workbookViewId="0">
      <selection activeCell="E126" sqref="E126"/>
    </sheetView>
  </sheetViews>
  <sheetFormatPr baseColWidth="10" defaultColWidth="9.1640625" defaultRowHeight="16" customHeight="1"/>
  <cols>
    <col min="1" max="1" width="9.1640625" style="4" customWidth="1"/>
    <col min="2" max="2" width="14.5" style="4" customWidth="1"/>
    <col min="3" max="4" width="16.83203125" style="4" customWidth="1"/>
    <col min="5" max="5" width="23.1640625" style="4" customWidth="1"/>
    <col min="6" max="8" width="9.1640625" style="4" customWidth="1"/>
    <col min="9" max="16384" width="9.1640625" style="4"/>
  </cols>
  <sheetData>
    <row r="1" spans="1:7" ht="17.5" customHeight="1">
      <c r="A1" s="8" t="s">
        <v>517</v>
      </c>
      <c r="B1" s="6"/>
      <c r="C1" s="6"/>
      <c r="D1" s="6"/>
      <c r="E1" s="6"/>
      <c r="F1" s="6"/>
      <c r="G1" s="6"/>
    </row>
    <row r="2" spans="1:7" ht="17.5" customHeight="1">
      <c r="A2" s="8" t="s">
        <v>518</v>
      </c>
      <c r="B2" s="6"/>
      <c r="C2" s="6"/>
      <c r="D2" s="6"/>
      <c r="E2" s="6"/>
      <c r="F2" s="6"/>
      <c r="G2" s="6"/>
    </row>
    <row r="3" spans="1:7" ht="17.5" customHeight="1">
      <c r="A3" s="8" t="s">
        <v>519</v>
      </c>
      <c r="B3" s="6"/>
      <c r="C3" s="6"/>
      <c r="D3" s="6"/>
      <c r="E3" s="6"/>
      <c r="F3" s="6"/>
      <c r="G3" s="6"/>
    </row>
    <row r="4" spans="1:7" ht="17.5" customHeight="1">
      <c r="A4" s="8" t="s">
        <v>520</v>
      </c>
      <c r="B4" s="6"/>
      <c r="C4" s="6"/>
      <c r="D4" s="6"/>
      <c r="E4" s="6"/>
      <c r="F4" s="6"/>
      <c r="G4" s="6"/>
    </row>
    <row r="5" spans="1:7" ht="13.75" customHeight="1">
      <c r="A5" s="6"/>
      <c r="B5" s="6"/>
      <c r="C5" s="6"/>
      <c r="D5" s="6"/>
      <c r="E5" s="6"/>
      <c r="F5" s="6"/>
      <c r="G5" s="6"/>
    </row>
    <row r="6" spans="1:7" ht="85" customHeight="1">
      <c r="A6" s="8" t="s">
        <v>95</v>
      </c>
      <c r="B6" s="12" t="s">
        <v>521</v>
      </c>
      <c r="C6" s="12" t="s">
        <v>522</v>
      </c>
      <c r="D6" s="8" t="s">
        <v>523</v>
      </c>
      <c r="E6" s="12" t="s">
        <v>524</v>
      </c>
      <c r="F6" s="6"/>
      <c r="G6" s="6"/>
    </row>
    <row r="7" spans="1:7" ht="17.5" customHeight="1">
      <c r="A7" s="108">
        <v>1790</v>
      </c>
      <c r="B7" s="6"/>
      <c r="C7" s="129">
        <f>'S2 - David-Solar raw data'!C6</f>
        <v>110</v>
      </c>
      <c r="D7" s="69"/>
      <c r="E7" s="127">
        <f t="shared" ref="E7:E15" si="0">$D$16*C7</f>
        <v>87.855519070472326</v>
      </c>
      <c r="F7" s="6"/>
      <c r="G7" s="6"/>
    </row>
    <row r="8" spans="1:7" ht="17.5" customHeight="1">
      <c r="A8" s="108">
        <v>1791</v>
      </c>
      <c r="B8" s="6"/>
      <c r="C8" s="129">
        <f>'S2 - David-Solar raw data'!C7</f>
        <v>113</v>
      </c>
      <c r="D8" s="69"/>
      <c r="E8" s="127">
        <f t="shared" si="0"/>
        <v>90.251578681485213</v>
      </c>
      <c r="F8" s="6"/>
      <c r="G8" s="6"/>
    </row>
    <row r="9" spans="1:7" ht="17.5" customHeight="1">
      <c r="A9" s="108">
        <v>1792</v>
      </c>
      <c r="B9" s="6"/>
      <c r="C9" s="129">
        <f>'S2 - David-Solar raw data'!C8</f>
        <v>115</v>
      </c>
      <c r="D9" s="69"/>
      <c r="E9" s="127">
        <f t="shared" si="0"/>
        <v>91.8489517554938</v>
      </c>
      <c r="F9" s="6"/>
      <c r="G9" s="6"/>
    </row>
    <row r="10" spans="1:7" ht="17.5" customHeight="1">
      <c r="A10" s="108">
        <v>1793</v>
      </c>
      <c r="B10" s="110"/>
      <c r="C10" s="129">
        <f>'S2 - David-Solar raw data'!C9</f>
        <v>119</v>
      </c>
      <c r="D10" s="110"/>
      <c r="E10" s="127">
        <f t="shared" si="0"/>
        <v>95.043697903510974</v>
      </c>
      <c r="F10" s="6"/>
      <c r="G10" s="6"/>
    </row>
    <row r="11" spans="1:7" ht="17.5" customHeight="1">
      <c r="A11" s="108">
        <v>1794</v>
      </c>
      <c r="B11" s="110"/>
      <c r="C11" s="129">
        <f>'S2 - David-Solar raw data'!C10</f>
        <v>132</v>
      </c>
      <c r="D11" s="110"/>
      <c r="E11" s="127">
        <f t="shared" si="0"/>
        <v>105.4266228845668</v>
      </c>
      <c r="F11" s="6"/>
      <c r="G11" s="6"/>
    </row>
    <row r="12" spans="1:7" ht="17.5" customHeight="1">
      <c r="A12" s="108">
        <v>1795</v>
      </c>
      <c r="B12" s="110"/>
      <c r="C12" s="129">
        <f>'S2 - David-Solar raw data'!C11</f>
        <v>151</v>
      </c>
      <c r="D12" s="110"/>
      <c r="E12" s="127">
        <f t="shared" si="0"/>
        <v>120.60166708764838</v>
      </c>
      <c r="F12" s="6"/>
      <c r="G12" s="6"/>
    </row>
    <row r="13" spans="1:7" ht="17.5" customHeight="1">
      <c r="A13" s="108">
        <v>1796</v>
      </c>
      <c r="B13" s="110"/>
      <c r="C13" s="129">
        <f>'S2 - David-Solar raw data'!C12</f>
        <v>159</v>
      </c>
      <c r="D13" s="110"/>
      <c r="E13" s="127">
        <f t="shared" si="0"/>
        <v>126.99115938368273</v>
      </c>
      <c r="F13" s="6"/>
      <c r="G13" s="6"/>
    </row>
    <row r="14" spans="1:7" ht="17.5" customHeight="1">
      <c r="A14" s="108">
        <v>1797</v>
      </c>
      <c r="B14" s="110"/>
      <c r="C14" s="129">
        <f>'S2 - David-Solar raw data'!C13</f>
        <v>153</v>
      </c>
      <c r="D14" s="110"/>
      <c r="E14" s="127">
        <f t="shared" si="0"/>
        <v>122.19904016165697</v>
      </c>
      <c r="F14" s="6"/>
      <c r="G14" s="6"/>
    </row>
    <row r="15" spans="1:7" ht="17.5" customHeight="1">
      <c r="A15" s="108">
        <v>1798</v>
      </c>
      <c r="B15" s="110"/>
      <c r="C15" s="129">
        <f>'S2 - David-Solar raw data'!C14</f>
        <v>148</v>
      </c>
      <c r="D15" s="110"/>
      <c r="E15" s="127">
        <f t="shared" si="0"/>
        <v>118.20560747663551</v>
      </c>
      <c r="F15" s="6"/>
      <c r="G15" s="6"/>
    </row>
    <row r="16" spans="1:7" ht="17.5" customHeight="1">
      <c r="A16" s="108">
        <v>1799</v>
      </c>
      <c r="B16" s="127">
        <f>'E2-Benchmarks, 1793-1829'!D13</f>
        <v>118.20560747663551</v>
      </c>
      <c r="C16" s="129">
        <f>'S2 - David-Solar raw data'!C15</f>
        <v>148</v>
      </c>
      <c r="D16" s="121">
        <f>B16/C16</f>
        <v>0.79868653700429393</v>
      </c>
      <c r="E16" s="127">
        <f t="shared" ref="E16:E47" si="1">C16*D16</f>
        <v>118.20560747663551</v>
      </c>
      <c r="F16" s="6"/>
      <c r="G16" s="6"/>
    </row>
    <row r="17" spans="1:7" ht="17.5" customHeight="1">
      <c r="A17" s="22">
        <v>1800</v>
      </c>
      <c r="B17" s="6"/>
      <c r="C17" s="22">
        <f>'S2 - David-Solar raw data'!C16</f>
        <v>151</v>
      </c>
      <c r="D17" s="69">
        <f>0.9*D16+0.1*D26</f>
        <v>0.80512755746400599</v>
      </c>
      <c r="E17" s="25">
        <f t="shared" si="1"/>
        <v>121.57426117706491</v>
      </c>
      <c r="F17" s="6"/>
      <c r="G17" s="6"/>
    </row>
    <row r="18" spans="1:7" ht="17.5" customHeight="1">
      <c r="A18" s="22">
        <v>1801</v>
      </c>
      <c r="B18" s="25"/>
      <c r="C18" s="22">
        <f>'S2 - David-Solar raw data'!C17</f>
        <v>153</v>
      </c>
      <c r="D18" s="69">
        <f>0.8*D16+0.2*D26</f>
        <v>0.81156857792371806</v>
      </c>
      <c r="E18" s="25">
        <f t="shared" si="1"/>
        <v>124.16999242232886</v>
      </c>
      <c r="F18" s="6"/>
      <c r="G18" s="6"/>
    </row>
    <row r="19" spans="1:7" ht="17.5" customHeight="1">
      <c r="A19" s="22">
        <v>1802</v>
      </c>
      <c r="B19" s="25"/>
      <c r="C19" s="22">
        <f>'S2 - David-Solar raw data'!C18</f>
        <v>129</v>
      </c>
      <c r="D19" s="69">
        <f>0.7*D16+0.3*D26</f>
        <v>0.81800959838343013</v>
      </c>
      <c r="E19" s="25">
        <f t="shared" si="1"/>
        <v>105.52323819146248</v>
      </c>
      <c r="F19" s="6"/>
      <c r="G19" s="6"/>
    </row>
    <row r="20" spans="1:7" ht="17.5" customHeight="1">
      <c r="A20" s="22">
        <v>1803</v>
      </c>
      <c r="B20" s="25"/>
      <c r="C20" s="22">
        <f>'S2 - David-Solar raw data'!C19</f>
        <v>136</v>
      </c>
      <c r="D20" s="69">
        <f>0.6*D16+0.4*D26</f>
        <v>0.82445061884314219</v>
      </c>
      <c r="E20" s="25">
        <f t="shared" si="1"/>
        <v>112.12528416266734</v>
      </c>
      <c r="F20" s="6"/>
      <c r="G20" s="6"/>
    </row>
    <row r="21" spans="1:7" ht="17.5" customHeight="1">
      <c r="A21" s="22">
        <v>1804</v>
      </c>
      <c r="B21" s="25"/>
      <c r="C21" s="22">
        <f>'S2 - David-Solar raw data'!C20</f>
        <v>142</v>
      </c>
      <c r="D21" s="69">
        <f>0.5*D16+0.5*D26</f>
        <v>0.83089163930285426</v>
      </c>
      <c r="E21" s="25">
        <f t="shared" si="1"/>
        <v>117.98661278100531</v>
      </c>
      <c r="F21" s="6"/>
      <c r="G21" s="6"/>
    </row>
    <row r="22" spans="1:7" ht="17.5" customHeight="1">
      <c r="A22" s="22">
        <v>1805</v>
      </c>
      <c r="B22" s="25"/>
      <c r="C22" s="22">
        <f>'S2 - David-Solar raw data'!C21</f>
        <v>141</v>
      </c>
      <c r="D22" s="69">
        <f>0.4*D16+0.6*D26</f>
        <v>0.83733265976256621</v>
      </c>
      <c r="E22" s="25">
        <f t="shared" si="1"/>
        <v>118.06390502652184</v>
      </c>
      <c r="F22" s="6"/>
      <c r="G22" s="6"/>
    </row>
    <row r="23" spans="1:7" ht="17.5" customHeight="1">
      <c r="A23" s="22">
        <v>1806</v>
      </c>
      <c r="B23" s="25"/>
      <c r="C23" s="22">
        <f>'S2 - David-Solar raw data'!C22</f>
        <v>147</v>
      </c>
      <c r="D23" s="69">
        <f>0.3*D16+0.7*D26</f>
        <v>0.84377368022227828</v>
      </c>
      <c r="E23" s="25">
        <f t="shared" si="1"/>
        <v>124.03473099267491</v>
      </c>
      <c r="F23" s="6"/>
      <c r="G23" s="6"/>
    </row>
    <row r="24" spans="1:7" ht="17.5" customHeight="1">
      <c r="A24" s="22">
        <v>1807</v>
      </c>
      <c r="B24" s="25"/>
      <c r="C24" s="22">
        <f>'S2 - David-Solar raw data'!C23</f>
        <v>139</v>
      </c>
      <c r="D24" s="69">
        <f>0.2*D16+0.8*D26</f>
        <v>0.85021470068199045</v>
      </c>
      <c r="E24" s="25">
        <f t="shared" si="1"/>
        <v>118.17984339479668</v>
      </c>
      <c r="F24" s="6"/>
      <c r="G24" s="6"/>
    </row>
    <row r="25" spans="1:7" ht="17.5" customHeight="1">
      <c r="A25" s="22">
        <v>1808</v>
      </c>
      <c r="B25" s="25"/>
      <c r="C25" s="22">
        <f>'S2 - David-Solar raw data'!C24</f>
        <v>151</v>
      </c>
      <c r="D25" s="69">
        <f>0.1*D16+0.9*D26</f>
        <v>0.85665572114170241</v>
      </c>
      <c r="E25" s="25">
        <f t="shared" si="1"/>
        <v>129.35501389239707</v>
      </c>
      <c r="F25" s="6"/>
      <c r="G25" s="6"/>
    </row>
    <row r="26" spans="1:7" ht="17.5" customHeight="1">
      <c r="A26" s="22">
        <v>1809</v>
      </c>
      <c r="B26" s="25">
        <f>'E2-Benchmarks, 1793-1829'!D14</f>
        <v>127.73831775700934</v>
      </c>
      <c r="C26" s="22">
        <f>'S2 - David-Solar raw data'!C25</f>
        <v>148</v>
      </c>
      <c r="D26" s="69">
        <f>B26/C26</f>
        <v>0.86309674160141447</v>
      </c>
      <c r="E26" s="25">
        <f t="shared" si="1"/>
        <v>127.73831775700934</v>
      </c>
      <c r="F26" s="6"/>
      <c r="G26" s="6"/>
    </row>
    <row r="27" spans="1:7" ht="17.5" customHeight="1">
      <c r="A27" s="22">
        <v>1810</v>
      </c>
      <c r="B27" s="6"/>
      <c r="C27" s="22">
        <f>'S2 - David-Solar raw data'!C26</f>
        <v>148</v>
      </c>
      <c r="D27" s="69">
        <f>0.9*D26+0.1*D36</f>
        <v>0.84096152226993348</v>
      </c>
      <c r="E27" s="25">
        <f t="shared" si="1"/>
        <v>124.46230529595016</v>
      </c>
      <c r="F27" s="6"/>
      <c r="G27" s="6"/>
    </row>
    <row r="28" spans="1:7" ht="17.5" customHeight="1">
      <c r="A28" s="22">
        <v>1811</v>
      </c>
      <c r="B28" s="25"/>
      <c r="C28" s="22">
        <f>'S2 - David-Solar raw data'!C27</f>
        <v>158</v>
      </c>
      <c r="D28" s="69">
        <f>0.8*D26+0.2*D36</f>
        <v>0.8188263029384526</v>
      </c>
      <c r="E28" s="25">
        <f t="shared" si="1"/>
        <v>129.37455586427552</v>
      </c>
      <c r="F28" s="6"/>
      <c r="G28" s="6"/>
    </row>
    <row r="29" spans="1:7" ht="17.5" customHeight="1">
      <c r="A29" s="22">
        <v>1812</v>
      </c>
      <c r="B29" s="25"/>
      <c r="C29" s="22">
        <f>'S2 - David-Solar raw data'!C28</f>
        <v>160</v>
      </c>
      <c r="D29" s="69">
        <f>0.7*D26+0.3*D36</f>
        <v>0.79669108360697138</v>
      </c>
      <c r="E29" s="25">
        <f t="shared" si="1"/>
        <v>127.47057337711541</v>
      </c>
      <c r="F29" s="6"/>
      <c r="G29" s="6"/>
    </row>
    <row r="30" spans="1:7" ht="17.5" customHeight="1">
      <c r="A30" s="22">
        <v>1813</v>
      </c>
      <c r="B30" s="25"/>
      <c r="C30" s="22">
        <f>'S2 - David-Solar raw data'!C29</f>
        <v>192</v>
      </c>
      <c r="D30" s="69">
        <f>0.6*D26+0.4*D36</f>
        <v>0.77455586427549039</v>
      </c>
      <c r="E30" s="25">
        <f t="shared" si="1"/>
        <v>148.71472594089414</v>
      </c>
      <c r="F30" s="6"/>
      <c r="G30" s="6"/>
    </row>
    <row r="31" spans="1:7" ht="17.5" customHeight="1">
      <c r="A31" s="22">
        <v>1814</v>
      </c>
      <c r="B31" s="25"/>
      <c r="C31" s="22">
        <f>'S2 - David-Solar raw data'!C30</f>
        <v>211</v>
      </c>
      <c r="D31" s="69">
        <f>0.5*D26+0.5*D36</f>
        <v>0.7524206449440094</v>
      </c>
      <c r="E31" s="25">
        <f t="shared" si="1"/>
        <v>158.76075608318598</v>
      </c>
      <c r="F31" s="6"/>
      <c r="G31" s="6"/>
    </row>
    <row r="32" spans="1:7" ht="17.5" customHeight="1">
      <c r="A32" s="22">
        <v>1815</v>
      </c>
      <c r="B32" s="25"/>
      <c r="C32" s="22">
        <f>'S2 - David-Solar raw data'!C31</f>
        <v>185</v>
      </c>
      <c r="D32" s="69">
        <f>0.4*D26+0.6*D36</f>
        <v>0.7302854256125284</v>
      </c>
      <c r="E32" s="25">
        <f t="shared" si="1"/>
        <v>135.10280373831776</v>
      </c>
      <c r="F32" s="6"/>
      <c r="G32" s="6"/>
    </row>
    <row r="33" spans="1:7" ht="17.5" customHeight="1">
      <c r="A33" s="22">
        <v>1816</v>
      </c>
      <c r="B33" s="25"/>
      <c r="C33" s="22">
        <f>'S2 - David-Solar raw data'!C32</f>
        <v>169</v>
      </c>
      <c r="D33" s="69">
        <f>0.3*D26+0.7*D36</f>
        <v>0.7081502062810473</v>
      </c>
      <c r="E33" s="25">
        <f t="shared" si="1"/>
        <v>119.67738486149699</v>
      </c>
      <c r="F33" s="6"/>
      <c r="G33" s="6"/>
    </row>
    <row r="34" spans="1:7" ht="17.5" customHeight="1">
      <c r="A34" s="22">
        <v>1817</v>
      </c>
      <c r="B34" s="25"/>
      <c r="C34" s="22">
        <f>'S2 - David-Solar raw data'!C33</f>
        <v>160</v>
      </c>
      <c r="D34" s="69">
        <f>0.2*D26+0.8*D36</f>
        <v>0.68601498694956642</v>
      </c>
      <c r="E34" s="25">
        <f t="shared" si="1"/>
        <v>109.76239791193063</v>
      </c>
      <c r="F34" s="6"/>
      <c r="G34" s="6"/>
    </row>
    <row r="35" spans="1:7" ht="17.5" customHeight="1">
      <c r="A35" s="22">
        <v>1818</v>
      </c>
      <c r="B35" s="25"/>
      <c r="C35" s="22">
        <f>'S2 - David-Solar raw data'!C34</f>
        <v>153</v>
      </c>
      <c r="D35" s="69">
        <f>0.1*D26+0.9*D36</f>
        <v>0.66387976761808531</v>
      </c>
      <c r="E35" s="25">
        <f t="shared" si="1"/>
        <v>101.57360444556706</v>
      </c>
      <c r="F35" s="6"/>
      <c r="G35" s="6"/>
    </row>
    <row r="36" spans="1:7" ht="17.5" customHeight="1">
      <c r="A36" s="22">
        <v>1819</v>
      </c>
      <c r="B36" s="25">
        <f>'E2-Benchmarks, 1793-1829'!D15</f>
        <v>98.186915887850461</v>
      </c>
      <c r="C36" s="22">
        <f>'S2 - David-Solar raw data'!C35</f>
        <v>153</v>
      </c>
      <c r="D36" s="69">
        <f>B36/C36</f>
        <v>0.64174454828660432</v>
      </c>
      <c r="E36" s="25">
        <f t="shared" si="1"/>
        <v>98.186915887850461</v>
      </c>
      <c r="F36" s="6"/>
      <c r="G36" s="6"/>
    </row>
    <row r="37" spans="1:7" ht="17.5" customHeight="1">
      <c r="A37" s="22">
        <v>1820</v>
      </c>
      <c r="B37" s="6"/>
      <c r="C37" s="22">
        <f>'S2 - David-Solar raw data'!C36</f>
        <v>141</v>
      </c>
      <c r="D37" s="69">
        <f>0.9*D36+0.1*D46</f>
        <v>0.65417222963951926</v>
      </c>
      <c r="E37" s="25">
        <f t="shared" si="1"/>
        <v>92.238284379172214</v>
      </c>
      <c r="F37" s="6"/>
      <c r="G37" s="6"/>
    </row>
    <row r="38" spans="1:7" ht="17.5" customHeight="1">
      <c r="A38" s="22">
        <v>1821</v>
      </c>
      <c r="B38" s="25"/>
      <c r="C38" s="22">
        <f>'S2 - David-Solar raw data'!C37</f>
        <v>136</v>
      </c>
      <c r="D38" s="69">
        <f>0.8*D36+0.2*D46</f>
        <v>0.66659991099243432</v>
      </c>
      <c r="E38" s="25">
        <f t="shared" si="1"/>
        <v>90.657587894971073</v>
      </c>
      <c r="F38" s="6"/>
      <c r="G38" s="6"/>
    </row>
    <row r="39" spans="1:7" ht="17.5" customHeight="1">
      <c r="A39" s="22">
        <v>1822</v>
      </c>
      <c r="B39" s="25"/>
      <c r="C39" s="22">
        <f>'S2 - David-Solar raw data'!C38</f>
        <v>141</v>
      </c>
      <c r="D39" s="69">
        <f>0.7*D36+0.3*D46</f>
        <v>0.67902759234534926</v>
      </c>
      <c r="E39" s="25">
        <f t="shared" si="1"/>
        <v>95.742890520694246</v>
      </c>
      <c r="F39" s="6"/>
      <c r="G39" s="6"/>
    </row>
    <row r="40" spans="1:7" ht="17.5" customHeight="1">
      <c r="A40" s="22">
        <v>1823</v>
      </c>
      <c r="B40" s="25"/>
      <c r="C40" s="22">
        <f>'S2 - David-Solar raw data'!C39</f>
        <v>126</v>
      </c>
      <c r="D40" s="69">
        <f>0.6*D36+0.4*D46</f>
        <v>0.69145527369826432</v>
      </c>
      <c r="E40" s="25">
        <f t="shared" si="1"/>
        <v>87.123364485981298</v>
      </c>
      <c r="F40" s="6"/>
      <c r="G40" s="6"/>
    </row>
    <row r="41" spans="1:7" ht="17.5" customHeight="1">
      <c r="A41" s="22">
        <v>1824</v>
      </c>
      <c r="B41" s="25"/>
      <c r="C41" s="22">
        <f>'S2 - David-Solar raw data'!C40</f>
        <v>116</v>
      </c>
      <c r="D41" s="69">
        <f>0.5*D36+0.5*D46</f>
        <v>0.70388295505117937</v>
      </c>
      <c r="E41" s="25">
        <f t="shared" si="1"/>
        <v>81.650422785936811</v>
      </c>
      <c r="F41" s="6"/>
      <c r="G41" s="6"/>
    </row>
    <row r="42" spans="1:7" ht="17.5" customHeight="1">
      <c r="A42" s="22">
        <v>1825</v>
      </c>
      <c r="B42" s="25"/>
      <c r="C42" s="22">
        <f>'S2 - David-Solar raw data'!C41</f>
        <v>119</v>
      </c>
      <c r="D42" s="69">
        <f>0.4*D36+0.6*D46</f>
        <v>0.71631063640409431</v>
      </c>
      <c r="E42" s="25">
        <f t="shared" si="1"/>
        <v>85.240965732087218</v>
      </c>
      <c r="F42" s="6"/>
      <c r="G42" s="6"/>
    </row>
    <row r="43" spans="1:7" ht="17.5" customHeight="1">
      <c r="A43" s="22">
        <v>1826</v>
      </c>
      <c r="B43" s="25"/>
      <c r="C43" s="22">
        <f>'S2 - David-Solar raw data'!C42</f>
        <v>119</v>
      </c>
      <c r="D43" s="69">
        <f>0.3*D36+0.7*D46</f>
        <v>0.72873831775700926</v>
      </c>
      <c r="E43" s="25">
        <f t="shared" si="1"/>
        <v>86.719859813084099</v>
      </c>
      <c r="F43" s="6"/>
      <c r="G43" s="6"/>
    </row>
    <row r="44" spans="1:7" ht="17.5" customHeight="1">
      <c r="A44" s="22">
        <v>1827</v>
      </c>
      <c r="B44" s="25"/>
      <c r="C44" s="22">
        <f>'S2 - David-Solar raw data'!C43</f>
        <v>120</v>
      </c>
      <c r="D44" s="69">
        <f>0.2*D36+0.8*D46</f>
        <v>0.74116599910992442</v>
      </c>
      <c r="E44" s="25">
        <f t="shared" si="1"/>
        <v>88.939919893190932</v>
      </c>
      <c r="F44" s="6"/>
      <c r="G44" s="6"/>
    </row>
    <row r="45" spans="1:7" ht="17.5" customHeight="1">
      <c r="A45" s="22">
        <v>1828</v>
      </c>
      <c r="B45" s="25"/>
      <c r="C45" s="22">
        <f>'S2 - David-Solar raw data'!C44</f>
        <v>114</v>
      </c>
      <c r="D45" s="69">
        <f>0.1*D36+0.9*D46</f>
        <v>0.75359368046283937</v>
      </c>
      <c r="E45" s="25">
        <f t="shared" si="1"/>
        <v>85.909679572763693</v>
      </c>
      <c r="F45" s="6"/>
      <c r="G45" s="6"/>
    </row>
    <row r="46" spans="1:7" ht="17.5" customHeight="1">
      <c r="A46" s="22">
        <v>1829</v>
      </c>
      <c r="B46" s="25">
        <f>'E2-Benchmarks, 1793-1829'!D16</f>
        <v>85.794392523364479</v>
      </c>
      <c r="C46" s="22">
        <f>'S2 - David-Solar raw data'!C45</f>
        <v>112</v>
      </c>
      <c r="D46" s="69">
        <f>B46/C46</f>
        <v>0.76602136181575431</v>
      </c>
      <c r="E46" s="25">
        <f t="shared" si="1"/>
        <v>85.794392523364479</v>
      </c>
      <c r="F46" s="6"/>
      <c r="G46" s="6"/>
    </row>
    <row r="47" spans="1:7" ht="17.5" customHeight="1">
      <c r="A47" s="22">
        <v>1830</v>
      </c>
      <c r="B47" s="6"/>
      <c r="C47" s="22">
        <f>'S2 - David-Solar raw data'!C46</f>
        <v>111</v>
      </c>
      <c r="D47" s="69">
        <f>0.9*D46+0.1*D56</f>
        <v>0.77795978440973301</v>
      </c>
      <c r="E47" s="25">
        <f t="shared" si="1"/>
        <v>86.35353606948037</v>
      </c>
      <c r="F47" s="6"/>
      <c r="G47" s="6"/>
    </row>
    <row r="48" spans="1:7" ht="17.5" customHeight="1">
      <c r="A48" s="22">
        <v>1831</v>
      </c>
      <c r="B48" s="25"/>
      <c r="C48" s="22">
        <f>'S2 - David-Solar raw data'!C47</f>
        <v>104</v>
      </c>
      <c r="D48" s="69">
        <f>0.8*D46+0.2*D56</f>
        <v>0.78989820700371161</v>
      </c>
      <c r="E48" s="25">
        <f t="shared" ref="E48:E79" si="2">C48*D48</f>
        <v>82.149413528386006</v>
      </c>
      <c r="F48" s="6"/>
      <c r="G48" s="6"/>
    </row>
    <row r="49" spans="1:7" ht="17.5" customHeight="1">
      <c r="A49" s="22">
        <v>1832</v>
      </c>
      <c r="B49" s="25"/>
      <c r="C49" s="22">
        <f>'S2 - David-Solar raw data'!C48</f>
        <v>103</v>
      </c>
      <c r="D49" s="69">
        <f>0.7*D46+0.3*D56</f>
        <v>0.8018366295976902</v>
      </c>
      <c r="E49" s="25">
        <f t="shared" si="2"/>
        <v>82.589172848562086</v>
      </c>
      <c r="F49" s="6"/>
      <c r="G49" s="6"/>
    </row>
    <row r="50" spans="1:7" ht="17.5" customHeight="1">
      <c r="A50" s="22">
        <v>1833</v>
      </c>
      <c r="B50" s="25"/>
      <c r="C50" s="22">
        <f>'S2 - David-Solar raw data'!C49</f>
        <v>101</v>
      </c>
      <c r="D50" s="69">
        <f>0.6*D46+0.4*D56</f>
        <v>0.8137750521916689</v>
      </c>
      <c r="E50" s="25">
        <f t="shared" si="2"/>
        <v>82.191280271358565</v>
      </c>
      <c r="F50" s="6"/>
      <c r="G50" s="6"/>
    </row>
    <row r="51" spans="1:7" ht="17.5" customHeight="1">
      <c r="A51" s="22">
        <v>1834</v>
      </c>
      <c r="B51" s="25"/>
      <c r="C51" s="22">
        <f>'S2 - David-Solar raw data'!C50</f>
        <v>103</v>
      </c>
      <c r="D51" s="69">
        <f>0.5*D46+0.5*D56</f>
        <v>0.82571347478564749</v>
      </c>
      <c r="E51" s="25">
        <f t="shared" si="2"/>
        <v>85.048487902921693</v>
      </c>
      <c r="F51" s="6"/>
      <c r="G51" s="6"/>
    </row>
    <row r="52" spans="1:7" ht="17.5" customHeight="1">
      <c r="A52" s="22">
        <v>1835</v>
      </c>
      <c r="B52" s="25"/>
      <c r="C52" s="22">
        <f>'S2 - David-Solar raw data'!C51</f>
        <v>106</v>
      </c>
      <c r="D52" s="69">
        <f>0.4*D46+0.6*D56</f>
        <v>0.83765189737962609</v>
      </c>
      <c r="E52" s="25">
        <f t="shared" si="2"/>
        <v>88.791101122240363</v>
      </c>
      <c r="F52" s="6"/>
      <c r="G52" s="6"/>
    </row>
    <row r="53" spans="1:7" ht="17.5" customHeight="1">
      <c r="A53" s="22">
        <v>1836</v>
      </c>
      <c r="B53" s="25"/>
      <c r="C53" s="22">
        <f>'S2 - David-Solar raw data'!C52</f>
        <v>112</v>
      </c>
      <c r="D53" s="69">
        <f>0.3*D46+0.7*D56</f>
        <v>0.84959031997360479</v>
      </c>
      <c r="E53" s="25">
        <f t="shared" si="2"/>
        <v>95.154115837043733</v>
      </c>
      <c r="F53" s="6"/>
      <c r="G53" s="6"/>
    </row>
    <row r="54" spans="1:7" ht="17.5" customHeight="1">
      <c r="A54" s="22">
        <v>1837</v>
      </c>
      <c r="B54" s="25"/>
      <c r="C54" s="22">
        <f>'S2 - David-Solar raw data'!C53</f>
        <v>115</v>
      </c>
      <c r="D54" s="69">
        <f>0.2*D46+0.8*D56</f>
        <v>0.86152874256758349</v>
      </c>
      <c r="E54" s="25">
        <f t="shared" si="2"/>
        <v>99.075805395272099</v>
      </c>
      <c r="F54" s="6"/>
      <c r="G54" s="6"/>
    </row>
    <row r="55" spans="1:7" ht="17.5" customHeight="1">
      <c r="A55" s="22">
        <v>1838</v>
      </c>
      <c r="B55" s="25"/>
      <c r="C55" s="22">
        <f>'S2 - David-Solar raw data'!C54</f>
        <v>112</v>
      </c>
      <c r="D55" s="69">
        <f>0.1*D46+0.9*D56</f>
        <v>0.87346716516156209</v>
      </c>
      <c r="E55" s="25">
        <f t="shared" si="2"/>
        <v>97.828322498094948</v>
      </c>
      <c r="F55" s="6"/>
      <c r="G55" s="6"/>
    </row>
    <row r="56" spans="1:7" ht="17.5" customHeight="1">
      <c r="A56" s="22">
        <v>1839</v>
      </c>
      <c r="B56" s="25">
        <f>'E3-Benchmarks, 1839-1859'!M18</f>
        <v>99.165425828620556</v>
      </c>
      <c r="C56" s="22">
        <f>'S2 - David-Solar raw data'!C55</f>
        <v>112</v>
      </c>
      <c r="D56" s="69">
        <f>B56/C56</f>
        <v>0.88540558775554068</v>
      </c>
      <c r="E56" s="25">
        <f t="shared" si="2"/>
        <v>99.165425828620556</v>
      </c>
      <c r="F56" s="6"/>
      <c r="G56" s="6"/>
    </row>
    <row r="57" spans="1:7" ht="17.5" customHeight="1">
      <c r="A57" s="22">
        <v>1840</v>
      </c>
      <c r="B57" s="6"/>
      <c r="C57" s="22">
        <f>'S2 - David-Solar raw data'!C56</f>
        <v>104</v>
      </c>
      <c r="D57" s="69">
        <f>0.9*D56+0.1*D66</f>
        <v>0.90078958860683789</v>
      </c>
      <c r="E57" s="25">
        <f t="shared" si="2"/>
        <v>93.682117215111134</v>
      </c>
      <c r="F57" s="6"/>
      <c r="G57" s="6"/>
    </row>
    <row r="58" spans="1:7" ht="17.5" customHeight="1">
      <c r="A58" s="22">
        <v>1841</v>
      </c>
      <c r="B58" s="25"/>
      <c r="C58" s="22">
        <f>'S2 - David-Solar raw data'!C57</f>
        <v>105</v>
      </c>
      <c r="D58" s="69">
        <f>0.8*D56+0.2*D66</f>
        <v>0.9161735894581351</v>
      </c>
      <c r="E58" s="25">
        <f t="shared" si="2"/>
        <v>96.198226893104192</v>
      </c>
      <c r="F58" s="6"/>
      <c r="G58" s="6"/>
    </row>
    <row r="59" spans="1:7" ht="17.5" customHeight="1">
      <c r="A59" s="22">
        <v>1842</v>
      </c>
      <c r="B59" s="25"/>
      <c r="C59" s="22">
        <f>'S2 - David-Solar raw data'!C58</f>
        <v>98</v>
      </c>
      <c r="D59" s="69">
        <f>0.7*D56+0.3*D66</f>
        <v>0.93155759030943219</v>
      </c>
      <c r="E59" s="25">
        <f t="shared" si="2"/>
        <v>91.292643850324353</v>
      </c>
      <c r="F59" s="6"/>
      <c r="G59" s="6"/>
    </row>
    <row r="60" spans="1:7" ht="17.5" customHeight="1">
      <c r="A60" s="22">
        <v>1843</v>
      </c>
      <c r="B60" s="25"/>
      <c r="C60" s="22">
        <f>'S2 - David-Solar raw data'!C59</f>
        <v>89</v>
      </c>
      <c r="D60" s="69">
        <f>0.6*D56+0.4*D66</f>
        <v>0.94694159116072929</v>
      </c>
      <c r="E60" s="25">
        <f t="shared" si="2"/>
        <v>84.277801613304902</v>
      </c>
      <c r="F60" s="6"/>
      <c r="G60" s="6"/>
    </row>
    <row r="61" spans="1:7" ht="17.5" customHeight="1">
      <c r="A61" s="22">
        <v>1844</v>
      </c>
      <c r="B61" s="25"/>
      <c r="C61" s="22">
        <f>'S2 - David-Solar raw data'!C60</f>
        <v>90</v>
      </c>
      <c r="D61" s="69">
        <f>0.5*D56+0.5*D66</f>
        <v>0.9623255920120265</v>
      </c>
      <c r="E61" s="25">
        <f t="shared" si="2"/>
        <v>86.60930328108239</v>
      </c>
      <c r="F61" s="6"/>
      <c r="G61" s="6"/>
    </row>
    <row r="62" spans="1:7" ht="17.5" customHeight="1">
      <c r="A62" s="22">
        <v>1845</v>
      </c>
      <c r="B62" s="25"/>
      <c r="C62" s="22">
        <f>'S2 - David-Solar raw data'!C61</f>
        <v>91</v>
      </c>
      <c r="D62" s="69">
        <f>0.4*D56+0.6*D66</f>
        <v>0.97770959286332371</v>
      </c>
      <c r="E62" s="25">
        <f t="shared" si="2"/>
        <v>88.971572950562461</v>
      </c>
      <c r="F62" s="6"/>
      <c r="G62" s="6"/>
    </row>
    <row r="63" spans="1:7" ht="17.5" customHeight="1">
      <c r="A63" s="22">
        <v>1846</v>
      </c>
      <c r="B63" s="25"/>
      <c r="C63" s="22">
        <f>'S2 - David-Solar raw data'!C62</f>
        <v>92</v>
      </c>
      <c r="D63" s="69">
        <f>0.3*D56+0.7*D66</f>
        <v>0.9930935937146208</v>
      </c>
      <c r="E63" s="25">
        <f t="shared" si="2"/>
        <v>91.364610621745115</v>
      </c>
      <c r="F63" s="6"/>
      <c r="G63" s="6"/>
    </row>
    <row r="64" spans="1:7" ht="17.5" customHeight="1">
      <c r="A64" s="22">
        <v>1847</v>
      </c>
      <c r="B64" s="25"/>
      <c r="C64" s="22">
        <f>'S2 - David-Solar raw data'!C63</f>
        <v>99</v>
      </c>
      <c r="D64" s="69">
        <f>0.2*D56+0.8*D66</f>
        <v>1.0084775945659181</v>
      </c>
      <c r="E64" s="25">
        <f t="shared" si="2"/>
        <v>99.839281862025899</v>
      </c>
      <c r="F64" s="6"/>
      <c r="G64" s="6"/>
    </row>
    <row r="65" spans="1:7" ht="17.5" customHeight="1">
      <c r="A65" s="22">
        <v>1848</v>
      </c>
      <c r="B65" s="6"/>
      <c r="C65" s="22">
        <f>'S2 - David-Solar raw data'!C64</f>
        <v>95</v>
      </c>
      <c r="D65" s="69">
        <f>0.1*D56+0.9*D66</f>
        <v>1.0238615954172152</v>
      </c>
      <c r="E65" s="25">
        <f t="shared" si="2"/>
        <v>97.266851564635445</v>
      </c>
      <c r="F65" s="6"/>
      <c r="G65" s="6"/>
    </row>
    <row r="66" spans="1:7" ht="17.5" customHeight="1">
      <c r="A66" s="22">
        <v>1849</v>
      </c>
      <c r="B66" s="25">
        <f>'E3-Benchmarks, 1839-1859'!M19</f>
        <v>95.610594856703131</v>
      </c>
      <c r="C66" s="22">
        <f>'S2 - David-Solar raw data'!C65</f>
        <v>92</v>
      </c>
      <c r="D66" s="69">
        <f>B66/C66</f>
        <v>1.0392455962685123</v>
      </c>
      <c r="E66" s="25">
        <f t="shared" si="2"/>
        <v>95.610594856703131</v>
      </c>
      <c r="F66" s="6"/>
      <c r="G66" s="6"/>
    </row>
    <row r="67" spans="1:7" ht="17.5" customHeight="1">
      <c r="A67" s="22">
        <v>1850</v>
      </c>
      <c r="B67" s="6"/>
      <c r="C67" s="22">
        <f>'S2 - David-Solar raw data'!C66</f>
        <v>94</v>
      </c>
      <c r="D67" s="69">
        <f>0.9*D66+0.1*D76</f>
        <v>1.037310358499826</v>
      </c>
      <c r="E67" s="25">
        <f t="shared" si="2"/>
        <v>97.50717369898365</v>
      </c>
      <c r="F67" s="6"/>
      <c r="G67" s="6"/>
    </row>
    <row r="68" spans="1:7" ht="17.5" customHeight="1">
      <c r="A68" s="22">
        <v>1851</v>
      </c>
      <c r="B68" s="6"/>
      <c r="C68" s="22">
        <f>'S2 - David-Solar raw data'!C67</f>
        <v>92</v>
      </c>
      <c r="D68" s="69">
        <f>0.8*D66+0.2*D76</f>
        <v>1.0353751207311397</v>
      </c>
      <c r="E68" s="25">
        <f t="shared" si="2"/>
        <v>95.254511107264847</v>
      </c>
      <c r="F68" s="6"/>
      <c r="G68" s="6"/>
    </row>
    <row r="69" spans="1:7" ht="17.5" customHeight="1">
      <c r="A69" s="22">
        <v>1852</v>
      </c>
      <c r="B69" s="6"/>
      <c r="C69" s="22">
        <f>'S2 - David-Solar raw data'!C68</f>
        <v>93</v>
      </c>
      <c r="D69" s="69">
        <f>0.7*D66+0.3*D76</f>
        <v>1.0334398829624534</v>
      </c>
      <c r="E69" s="25">
        <f t="shared" si="2"/>
        <v>96.10990911550816</v>
      </c>
      <c r="F69" s="6"/>
      <c r="G69" s="6"/>
    </row>
    <row r="70" spans="1:7" ht="17.5" customHeight="1">
      <c r="A70" s="22">
        <v>1853</v>
      </c>
      <c r="B70" s="6"/>
      <c r="C70" s="22">
        <f>'S2 - David-Solar raw data'!C69</f>
        <v>93</v>
      </c>
      <c r="D70" s="69">
        <f>0.6*D66+0.4*D76</f>
        <v>1.0315046451937668</v>
      </c>
      <c r="E70" s="25">
        <f t="shared" si="2"/>
        <v>95.929932003020312</v>
      </c>
      <c r="F70" s="6"/>
      <c r="G70" s="6"/>
    </row>
    <row r="71" spans="1:7" ht="17.5" customHeight="1">
      <c r="A71" s="22">
        <v>1854</v>
      </c>
      <c r="B71" s="6"/>
      <c r="C71" s="22">
        <f>'S2 - David-Solar raw data'!C70</f>
        <v>101</v>
      </c>
      <c r="D71" s="69">
        <f>0.5*D66+0.5*D76</f>
        <v>1.0295694074250807</v>
      </c>
      <c r="E71" s="25">
        <f t="shared" si="2"/>
        <v>103.98651014993315</v>
      </c>
      <c r="F71" s="6"/>
      <c r="G71" s="6"/>
    </row>
    <row r="72" spans="1:7" ht="17.5" customHeight="1">
      <c r="A72" s="22">
        <v>1855</v>
      </c>
      <c r="B72" s="6"/>
      <c r="C72" s="22">
        <f>'S2 - David-Solar raw data'!C71</f>
        <v>104</v>
      </c>
      <c r="D72" s="69">
        <f>0.4*D66+0.6*D76</f>
        <v>1.0276341696563942</v>
      </c>
      <c r="E72" s="25">
        <f t="shared" si="2"/>
        <v>106.873953644265</v>
      </c>
      <c r="F72" s="6"/>
      <c r="G72" s="6"/>
    </row>
    <row r="73" spans="1:7" ht="17.5" customHeight="1">
      <c r="A73" s="22">
        <v>1856</v>
      </c>
      <c r="B73" s="6"/>
      <c r="C73" s="22">
        <f>'S2 - David-Solar raw data'!C72</f>
        <v>102</v>
      </c>
      <c r="D73" s="69">
        <f>0.3*D66+0.7*D76</f>
        <v>1.0256989318877079</v>
      </c>
      <c r="E73" s="25">
        <f t="shared" si="2"/>
        <v>104.6212910525462</v>
      </c>
      <c r="F73" s="6"/>
      <c r="G73" s="6"/>
    </row>
    <row r="74" spans="1:7" ht="17.5" customHeight="1">
      <c r="A74" s="22">
        <v>1857</v>
      </c>
      <c r="B74" s="6"/>
      <c r="C74" s="22">
        <f>'S2 - David-Solar raw data'!C73</f>
        <v>105</v>
      </c>
      <c r="D74" s="69">
        <f>0.2*D66+0.8*D76</f>
        <v>1.0237636941190216</v>
      </c>
      <c r="E74" s="25">
        <f t="shared" si="2"/>
        <v>107.49518788249726</v>
      </c>
      <c r="F74" s="6"/>
      <c r="G74" s="6"/>
    </row>
    <row r="75" spans="1:7" ht="17.5" customHeight="1">
      <c r="A75" s="22">
        <v>1858</v>
      </c>
      <c r="B75" s="6"/>
      <c r="C75" s="22">
        <f>'S2 - David-Solar raw data'!C74</f>
        <v>99</v>
      </c>
      <c r="D75" s="69">
        <f>0.1*D66+0.9*D76</f>
        <v>1.0218284563503353</v>
      </c>
      <c r="E75" s="25">
        <f t="shared" si="2"/>
        <v>101.1610171786832</v>
      </c>
      <c r="F75" s="6"/>
      <c r="G75" s="6"/>
    </row>
    <row r="76" spans="1:7" ht="17.5" customHeight="1">
      <c r="A76" s="22">
        <v>1859</v>
      </c>
      <c r="B76" s="25">
        <f>'E3-Benchmarks, 1839-1859'!M20</f>
        <v>101.9893218581649</v>
      </c>
      <c r="C76" s="22">
        <f>'S2 - David-Solar raw data'!C75</f>
        <v>100</v>
      </c>
      <c r="D76" s="69">
        <f>B76/C76</f>
        <v>1.0198932185816489</v>
      </c>
      <c r="E76" s="25">
        <f t="shared" si="2"/>
        <v>101.9893218581649</v>
      </c>
      <c r="F76" s="23"/>
      <c r="G76" s="6"/>
    </row>
    <row r="77" spans="1:7" ht="17.5" customHeight="1">
      <c r="A77" s="22">
        <v>1860</v>
      </c>
      <c r="B77" s="6"/>
      <c r="C77" s="22">
        <f>'S2 - David-Solar raw data'!C76</f>
        <v>100</v>
      </c>
      <c r="D77" s="69">
        <f>0.9*D76+0.1*D86</f>
        <v>1.0008933538663105</v>
      </c>
      <c r="E77" s="25">
        <f t="shared" si="2"/>
        <v>100.08933538663105</v>
      </c>
      <c r="F77" s="23"/>
      <c r="G77" s="6"/>
    </row>
    <row r="78" spans="1:7" ht="17.5" customHeight="1">
      <c r="A78" s="22">
        <v>1861</v>
      </c>
      <c r="B78" s="6"/>
      <c r="C78" s="22">
        <f>'S2 - David-Solar raw data'!C77</f>
        <v>106</v>
      </c>
      <c r="D78" s="69">
        <f>0.8*D76+0.2*D86</f>
        <v>0.98189348915097185</v>
      </c>
      <c r="E78" s="25">
        <f t="shared" si="2"/>
        <v>104.08070985000302</v>
      </c>
      <c r="F78" s="6"/>
      <c r="G78" s="6"/>
    </row>
    <row r="79" spans="1:7" ht="17.5" customHeight="1">
      <c r="A79" s="22">
        <v>1862</v>
      </c>
      <c r="B79" s="6"/>
      <c r="C79" s="22">
        <f>'S2 - David-Solar raw data'!C78</f>
        <v>121</v>
      </c>
      <c r="D79" s="69">
        <f>0.7*D76+0.3*D86</f>
        <v>0.96289362443563331</v>
      </c>
      <c r="E79" s="25">
        <f t="shared" si="2"/>
        <v>116.51012855671163</v>
      </c>
      <c r="F79" s="6"/>
      <c r="G79" s="6"/>
    </row>
    <row r="80" spans="1:7" ht="17.5" customHeight="1">
      <c r="A80" s="22">
        <v>1863</v>
      </c>
      <c r="B80" s="6"/>
      <c r="C80" s="22">
        <f>'S2 - David-Solar raw data'!C79</f>
        <v>151</v>
      </c>
      <c r="D80" s="69">
        <f>0.6*D76+0.4*D86</f>
        <v>0.94389375972029477</v>
      </c>
      <c r="E80" s="25">
        <f t="shared" ref="E80:E111" si="3">C80*D80</f>
        <v>142.52795771776451</v>
      </c>
      <c r="F80" s="6"/>
      <c r="G80" s="6"/>
    </row>
    <row r="81" spans="1:7" ht="17.5" customHeight="1">
      <c r="A81" s="22">
        <v>1864</v>
      </c>
      <c r="B81" s="6"/>
      <c r="C81" s="22">
        <f>'S2 - David-Solar raw data'!C80</f>
        <v>189</v>
      </c>
      <c r="D81" s="69">
        <f>0.5*D76+0.5*D86</f>
        <v>0.92489389500495633</v>
      </c>
      <c r="E81" s="25">
        <f t="shared" si="3"/>
        <v>174.80494615593676</v>
      </c>
      <c r="F81" s="6"/>
      <c r="G81" s="6"/>
    </row>
    <row r="82" spans="1:7" ht="17.5" customHeight="1">
      <c r="A82" s="22">
        <v>1865</v>
      </c>
      <c r="B82" s="6"/>
      <c r="C82" s="22">
        <f>'S2 - David-Solar raw data'!C81</f>
        <v>196</v>
      </c>
      <c r="D82" s="69">
        <f>0.4*D76+0.6*D86</f>
        <v>0.90589403028961768</v>
      </c>
      <c r="E82" s="25">
        <f t="shared" si="3"/>
        <v>177.55522993676507</v>
      </c>
      <c r="F82" s="6"/>
      <c r="G82" s="6"/>
    </row>
    <row r="83" spans="1:7" ht="17.5" customHeight="1">
      <c r="A83" s="22">
        <v>1866</v>
      </c>
      <c r="B83" s="6"/>
      <c r="C83" s="22">
        <f>'S2 - David-Solar raw data'!C82</f>
        <v>191</v>
      </c>
      <c r="D83" s="69">
        <f>0.3*D76+0.7*D86</f>
        <v>0.88689416557427914</v>
      </c>
      <c r="E83" s="25">
        <f t="shared" si="3"/>
        <v>169.39678562468731</v>
      </c>
      <c r="F83" s="6"/>
      <c r="G83" s="6"/>
    </row>
    <row r="84" spans="1:7" ht="17.5" customHeight="1">
      <c r="A84" s="22">
        <v>1867</v>
      </c>
      <c r="B84" s="6"/>
      <c r="C84" s="22">
        <f>'S2 - David-Solar raw data'!C83</f>
        <v>178</v>
      </c>
      <c r="D84" s="69">
        <f>0.2*D76+0.8*D86</f>
        <v>0.8678943008589407</v>
      </c>
      <c r="E84" s="25">
        <f t="shared" si="3"/>
        <v>154.48518555289144</v>
      </c>
      <c r="F84" s="6"/>
      <c r="G84" s="6"/>
    </row>
    <row r="85" spans="1:7" ht="17.5" customHeight="1">
      <c r="A85" s="22">
        <v>1868</v>
      </c>
      <c r="B85" s="6"/>
      <c r="C85" s="22">
        <f>'S2 - David-Solar raw data'!C84</f>
        <v>171</v>
      </c>
      <c r="D85" s="69">
        <f>0.1*D76+0.9*D86</f>
        <v>0.84889443614360216</v>
      </c>
      <c r="E85" s="25">
        <f t="shared" si="3"/>
        <v>145.16094858055598</v>
      </c>
      <c r="F85" s="6"/>
      <c r="G85" s="6"/>
    </row>
    <row r="86" spans="1:7" ht="17.5" customHeight="1">
      <c r="A86" s="22">
        <v>1869</v>
      </c>
      <c r="B86" s="25">
        <f>'E4-Benchmarks, 1869-1909'!N23</f>
        <v>136.10270971423523</v>
      </c>
      <c r="C86" s="22">
        <f>'S2 - David-Solar raw data'!C85</f>
        <v>164</v>
      </c>
      <c r="D86" s="69">
        <f>B86/C86</f>
        <v>0.82989457142826362</v>
      </c>
      <c r="E86" s="25">
        <f t="shared" si="3"/>
        <v>136.10270971423523</v>
      </c>
      <c r="F86" s="6"/>
      <c r="G86" s="6"/>
    </row>
    <row r="87" spans="1:7" ht="17.5" customHeight="1">
      <c r="A87" s="22">
        <v>1870</v>
      </c>
      <c r="B87" s="6"/>
      <c r="C87" s="22">
        <f>'S2 - David-Solar raw data'!C86</f>
        <v>157</v>
      </c>
      <c r="D87" s="69">
        <f>0.9*D86+0.1*D96</f>
        <v>0.83018235912440153</v>
      </c>
      <c r="E87" s="25">
        <f t="shared" si="3"/>
        <v>130.33863038253105</v>
      </c>
      <c r="F87" s="6"/>
      <c r="G87" s="6"/>
    </row>
    <row r="88" spans="1:7" ht="17.5" customHeight="1">
      <c r="A88" s="22">
        <v>1871</v>
      </c>
      <c r="B88" s="6"/>
      <c r="C88" s="22">
        <f>'S2 - David-Solar raw data'!C87</f>
        <v>147</v>
      </c>
      <c r="D88" s="69">
        <f>0.8*D86+0.2*D96</f>
        <v>0.83047014682053943</v>
      </c>
      <c r="E88" s="25">
        <f t="shared" si="3"/>
        <v>122.07911158261929</v>
      </c>
      <c r="F88" s="6"/>
      <c r="G88" s="6"/>
    </row>
    <row r="89" spans="1:7" ht="17.5" customHeight="1">
      <c r="A89" s="22">
        <v>1872</v>
      </c>
      <c r="B89" s="6"/>
      <c r="C89" s="22">
        <f>'S2 - David-Solar raw data'!C88</f>
        <v>147</v>
      </c>
      <c r="D89" s="69">
        <f>0.7*D86+0.3*D96</f>
        <v>0.83075793451667712</v>
      </c>
      <c r="E89" s="25">
        <f t="shared" si="3"/>
        <v>122.12141637395153</v>
      </c>
      <c r="F89" s="6"/>
      <c r="G89" s="6"/>
    </row>
    <row r="90" spans="1:7" ht="17.5" customHeight="1">
      <c r="A90" s="22">
        <v>1873</v>
      </c>
      <c r="B90" s="6"/>
      <c r="C90" s="22">
        <f>'S2 - David-Solar raw data'!C89</f>
        <v>144</v>
      </c>
      <c r="D90" s="69">
        <f>0.6*D86+0.4*D96</f>
        <v>0.83104572221281514</v>
      </c>
      <c r="E90" s="25">
        <f t="shared" si="3"/>
        <v>119.67058399864538</v>
      </c>
      <c r="F90" s="6"/>
      <c r="G90" s="6"/>
    </row>
    <row r="91" spans="1:7" ht="17.5" customHeight="1">
      <c r="A91" s="22">
        <v>1874</v>
      </c>
      <c r="B91" s="6"/>
      <c r="C91" s="22">
        <f>'S2 - David-Solar raw data'!C90</f>
        <v>137</v>
      </c>
      <c r="D91" s="69">
        <f>0.5*D86+0.5*D96</f>
        <v>0.83133350990895294</v>
      </c>
      <c r="E91" s="25">
        <f t="shared" si="3"/>
        <v>113.89269085752655</v>
      </c>
      <c r="F91" s="6"/>
      <c r="G91" s="6"/>
    </row>
    <row r="92" spans="1:7" ht="17.5" customHeight="1">
      <c r="A92" s="22">
        <v>1875</v>
      </c>
      <c r="B92" s="6"/>
      <c r="C92" s="22">
        <f>'S2 - David-Solar raw data'!C91</f>
        <v>132</v>
      </c>
      <c r="D92" s="69">
        <f>0.4*D86+0.6*D96</f>
        <v>0.83162129760509085</v>
      </c>
      <c r="E92" s="25">
        <f t="shared" si="3"/>
        <v>109.77401128387199</v>
      </c>
      <c r="F92" s="6"/>
      <c r="G92" s="6"/>
    </row>
    <row r="93" spans="1:7" ht="17.5" customHeight="1">
      <c r="A93" s="22">
        <v>1876</v>
      </c>
      <c r="B93" s="6"/>
      <c r="C93" s="22">
        <f>'S2 - David-Solar raw data'!C92</f>
        <v>129</v>
      </c>
      <c r="D93" s="69">
        <f>0.3*D86+0.7*D96</f>
        <v>0.83190908530122865</v>
      </c>
      <c r="E93" s="25">
        <f t="shared" si="3"/>
        <v>107.3162720038585</v>
      </c>
      <c r="F93" s="6"/>
      <c r="G93" s="6"/>
    </row>
    <row r="94" spans="1:7" ht="17.5" customHeight="1">
      <c r="A94" s="22">
        <v>1877</v>
      </c>
      <c r="B94" s="6"/>
      <c r="C94" s="22">
        <f>'S2 - David-Solar raw data'!C93</f>
        <v>126</v>
      </c>
      <c r="D94" s="69">
        <f>0.2*D86+0.8*D96</f>
        <v>0.83219687299736667</v>
      </c>
      <c r="E94" s="25">
        <f t="shared" si="3"/>
        <v>104.8568059976682</v>
      </c>
      <c r="F94" s="6"/>
      <c r="G94" s="6"/>
    </row>
    <row r="95" spans="1:7" ht="17.5" customHeight="1">
      <c r="A95" s="22">
        <v>1878</v>
      </c>
      <c r="B95" s="6"/>
      <c r="C95" s="22">
        <f>'S2 - David-Solar raw data'!C94</f>
        <v>120</v>
      </c>
      <c r="D95" s="69">
        <f>0.1*D86+0.9*D96</f>
        <v>0.83248466069350446</v>
      </c>
      <c r="E95" s="25">
        <f t="shared" si="3"/>
        <v>99.898159283220537</v>
      </c>
      <c r="F95" s="6"/>
      <c r="G95" s="6"/>
    </row>
    <row r="96" spans="1:7" ht="17.5" customHeight="1">
      <c r="A96" s="22">
        <v>1879</v>
      </c>
      <c r="B96" s="25">
        <f>'E4-Benchmarks, 1869-1909'!N24</f>
        <v>99.932693806757086</v>
      </c>
      <c r="C96" s="22">
        <f>'S2 - David-Solar raw data'!C95</f>
        <v>120</v>
      </c>
      <c r="D96" s="69">
        <f>B96/C96</f>
        <v>0.83277244838964237</v>
      </c>
      <c r="E96" s="25">
        <f t="shared" si="3"/>
        <v>99.932693806757086</v>
      </c>
      <c r="F96" s="6"/>
      <c r="G96" s="6"/>
    </row>
    <row r="97" spans="1:7" ht="17.5" customHeight="1">
      <c r="A97" s="22">
        <v>1880</v>
      </c>
      <c r="B97" s="6"/>
      <c r="C97" s="22">
        <f>'S2 - David-Solar raw data'!C96</f>
        <v>123</v>
      </c>
      <c r="D97" s="69">
        <f>0.9*D96+0.1*D106</f>
        <v>0.83072233217746072</v>
      </c>
      <c r="E97" s="25">
        <f t="shared" si="3"/>
        <v>102.17884685782766</v>
      </c>
      <c r="F97" s="6"/>
      <c r="G97" s="6"/>
    </row>
    <row r="98" spans="1:7" ht="17.5" customHeight="1">
      <c r="A98" s="22">
        <v>1881</v>
      </c>
      <c r="B98" s="6"/>
      <c r="C98" s="22">
        <f>'S2 - David-Solar raw data'!C97</f>
        <v>123</v>
      </c>
      <c r="D98" s="69">
        <f>0.8*D96+0.2*D106</f>
        <v>0.82867221596527918</v>
      </c>
      <c r="E98" s="25">
        <f t="shared" si="3"/>
        <v>101.92668256372934</v>
      </c>
      <c r="F98" s="6"/>
      <c r="G98" s="6"/>
    </row>
    <row r="99" spans="1:7" ht="17.5" customHeight="1">
      <c r="A99" s="22">
        <v>1882</v>
      </c>
      <c r="B99" s="6"/>
      <c r="C99" s="22">
        <f>'S2 - David-Solar raw data'!C98</f>
        <v>123</v>
      </c>
      <c r="D99" s="69">
        <f>0.7*D96+0.3*D106</f>
        <v>0.82662209975309742</v>
      </c>
      <c r="E99" s="25">
        <f t="shared" si="3"/>
        <v>101.67451826963098</v>
      </c>
      <c r="F99" s="6"/>
      <c r="G99" s="6"/>
    </row>
    <row r="100" spans="1:7" ht="17.5" customHeight="1">
      <c r="A100" s="22">
        <v>1883</v>
      </c>
      <c r="B100" s="6"/>
      <c r="C100" s="22">
        <f>'S2 - David-Solar raw data'!C99</f>
        <v>121</v>
      </c>
      <c r="D100" s="69">
        <f>0.6*D96+0.4*D106</f>
        <v>0.82457198354091588</v>
      </c>
      <c r="E100" s="25">
        <f t="shared" si="3"/>
        <v>99.773210008450818</v>
      </c>
      <c r="F100" s="6"/>
      <c r="G100" s="6"/>
    </row>
    <row r="101" spans="1:7" ht="17.5" customHeight="1">
      <c r="A101" s="22">
        <v>1884</v>
      </c>
      <c r="B101" s="6"/>
      <c r="C101" s="22">
        <f>'S2 - David-Solar raw data'!C100</f>
        <v>118</v>
      </c>
      <c r="D101" s="69">
        <f>0.5*D96+0.5*D106</f>
        <v>0.82252186732873422</v>
      </c>
      <c r="E101" s="25">
        <f t="shared" si="3"/>
        <v>97.057580344790637</v>
      </c>
      <c r="F101" s="6"/>
      <c r="G101" s="6"/>
    </row>
    <row r="102" spans="1:7" ht="17.5" customHeight="1">
      <c r="A102" s="22">
        <v>1885</v>
      </c>
      <c r="B102" s="6"/>
      <c r="C102" s="22">
        <f>'S2 - David-Solar raw data'!C101</f>
        <v>116</v>
      </c>
      <c r="D102" s="69">
        <f>0.4*D96+0.6*D106</f>
        <v>0.82047175111655268</v>
      </c>
      <c r="E102" s="25">
        <f t="shared" si="3"/>
        <v>95.174723129520117</v>
      </c>
      <c r="F102" s="6"/>
      <c r="G102" s="6"/>
    </row>
    <row r="103" spans="1:7" ht="17.5" customHeight="1">
      <c r="A103" s="22">
        <v>1886</v>
      </c>
      <c r="B103" s="6"/>
      <c r="C103" s="22">
        <f>'S2 - David-Solar raw data'!C102</f>
        <v>113</v>
      </c>
      <c r="D103" s="69">
        <f>0.3*D96+0.7*D106</f>
        <v>0.81842163490437092</v>
      </c>
      <c r="E103" s="25">
        <f t="shared" si="3"/>
        <v>92.481644744193915</v>
      </c>
      <c r="F103" s="6"/>
      <c r="G103" s="6"/>
    </row>
    <row r="104" spans="1:7" ht="17.5" customHeight="1">
      <c r="A104" s="22">
        <v>1887</v>
      </c>
      <c r="B104" s="6"/>
      <c r="C104" s="22">
        <f>'S2 - David-Solar raw data'!C103</f>
        <v>114</v>
      </c>
      <c r="D104" s="69">
        <f>0.2*D96+0.8*D106</f>
        <v>0.81637151869218949</v>
      </c>
      <c r="E104" s="25">
        <f t="shared" si="3"/>
        <v>93.066353130909604</v>
      </c>
      <c r="F104" s="6"/>
      <c r="G104" s="6"/>
    </row>
    <row r="105" spans="1:7" ht="17.5" customHeight="1">
      <c r="A105" s="22">
        <v>1888</v>
      </c>
      <c r="B105" s="6"/>
      <c r="C105" s="22">
        <f>'S2 - David-Solar raw data'!C104</f>
        <v>114</v>
      </c>
      <c r="D105" s="69">
        <f>0.1*D96+0.9*D106</f>
        <v>0.81432140248000784</v>
      </c>
      <c r="E105" s="25">
        <f t="shared" si="3"/>
        <v>92.832639882720898</v>
      </c>
      <c r="F105" s="6"/>
      <c r="G105" s="6"/>
    </row>
    <row r="106" spans="1:7" ht="17.5" customHeight="1">
      <c r="A106" s="22">
        <v>1889</v>
      </c>
      <c r="B106" s="25">
        <f>'E4-Benchmarks, 1869-1909'!N25</f>
        <v>90.162112775728701</v>
      </c>
      <c r="C106" s="22">
        <f>'S2 - David-Solar raw data'!C105</f>
        <v>111</v>
      </c>
      <c r="D106" s="69">
        <f>B106/C106</f>
        <v>0.81227128626782619</v>
      </c>
      <c r="E106" s="25">
        <f t="shared" si="3"/>
        <v>90.162112775728701</v>
      </c>
      <c r="F106" s="6"/>
      <c r="G106" s="6"/>
    </row>
    <row r="107" spans="1:7" ht="17.5" customHeight="1">
      <c r="A107" s="22">
        <v>1890</v>
      </c>
      <c r="B107" s="6"/>
      <c r="C107" s="22">
        <f>'S2 - David-Solar raw data'!C106</f>
        <v>109</v>
      </c>
      <c r="D107" s="69">
        <f>0.9*D106+0.1*D116</f>
        <v>0.82054138383292619</v>
      </c>
      <c r="E107" s="25">
        <f t="shared" si="3"/>
        <v>89.439010837788956</v>
      </c>
      <c r="F107" s="6"/>
      <c r="G107" s="6"/>
    </row>
    <row r="108" spans="1:7" ht="17.5" customHeight="1">
      <c r="A108" s="22">
        <v>1891</v>
      </c>
      <c r="B108" s="6"/>
      <c r="C108" s="22">
        <f>'S2 - David-Solar raw data'!C107</f>
        <v>109</v>
      </c>
      <c r="D108" s="69">
        <f>0.8*D106+0.2*D116</f>
        <v>0.82881148139802607</v>
      </c>
      <c r="E108" s="25">
        <f t="shared" si="3"/>
        <v>90.340451472384842</v>
      </c>
      <c r="F108" s="6"/>
      <c r="G108" s="6"/>
    </row>
    <row r="109" spans="1:7" ht="17.5" customHeight="1">
      <c r="A109" s="22">
        <v>1892</v>
      </c>
      <c r="B109" s="6"/>
      <c r="C109" s="22">
        <f>'S2 - David-Solar raw data'!C108</f>
        <v>109</v>
      </c>
      <c r="D109" s="69">
        <f>0.7*D106+0.3*D116</f>
        <v>0.83708157896312585</v>
      </c>
      <c r="E109" s="25">
        <f t="shared" si="3"/>
        <v>91.241892106980714</v>
      </c>
      <c r="F109" s="6"/>
      <c r="G109" s="6"/>
    </row>
    <row r="110" spans="1:7" ht="17.5" customHeight="1">
      <c r="A110" s="22">
        <v>1893</v>
      </c>
      <c r="B110" s="6"/>
      <c r="C110" s="22">
        <f>'S2 - David-Solar raw data'!C109</f>
        <v>108</v>
      </c>
      <c r="D110" s="69">
        <f>0.6*D106+0.4*D116</f>
        <v>0.84535167652822596</v>
      </c>
      <c r="E110" s="25">
        <f t="shared" si="3"/>
        <v>91.297981065048404</v>
      </c>
      <c r="F110" s="6"/>
      <c r="G110" s="6"/>
    </row>
    <row r="111" spans="1:7" ht="17.5" customHeight="1">
      <c r="A111" s="22">
        <v>1894</v>
      </c>
      <c r="B111" s="6"/>
      <c r="C111" s="22">
        <f>'S2 - David-Solar raw data'!C110</f>
        <v>103</v>
      </c>
      <c r="D111" s="69">
        <f>0.5*D106+0.5*D116</f>
        <v>0.85362177409332585</v>
      </c>
      <c r="E111" s="25">
        <f t="shared" si="3"/>
        <v>87.923042731612568</v>
      </c>
      <c r="F111" s="6"/>
      <c r="G111" s="6"/>
    </row>
    <row r="112" spans="1:7" ht="17.5" customHeight="1">
      <c r="A112" s="22">
        <v>1895</v>
      </c>
      <c r="B112" s="6"/>
      <c r="C112" s="22">
        <f>'S2 - David-Solar raw data'!C111</f>
        <v>101</v>
      </c>
      <c r="D112" s="69">
        <f>0.4*D106+0.6*D116</f>
        <v>0.86189187165842585</v>
      </c>
      <c r="E112" s="25">
        <f t="shared" ref="E112:E126" si="4">C112*D112</f>
        <v>87.051079037501012</v>
      </c>
      <c r="F112" s="6"/>
      <c r="G112" s="6"/>
    </row>
    <row r="113" spans="1:7" ht="17.5" customHeight="1">
      <c r="A113" s="22">
        <v>1896</v>
      </c>
      <c r="B113" s="6"/>
      <c r="C113" s="22">
        <f>'S2 - David-Solar raw data'!C112</f>
        <v>101</v>
      </c>
      <c r="D113" s="69">
        <f>0.3*D106+0.7*D116</f>
        <v>0.87016196922352573</v>
      </c>
      <c r="E113" s="25">
        <f t="shared" si="4"/>
        <v>87.886358891576094</v>
      </c>
      <c r="F113" s="6"/>
      <c r="G113" s="6"/>
    </row>
    <row r="114" spans="1:7" ht="17.5" customHeight="1">
      <c r="A114" s="22">
        <v>1897</v>
      </c>
      <c r="B114" s="6"/>
      <c r="C114" s="22">
        <f>'S2 - David-Solar raw data'!C113</f>
        <v>100</v>
      </c>
      <c r="D114" s="69">
        <f>0.2*D106+0.8*D116</f>
        <v>0.87843206678862573</v>
      </c>
      <c r="E114" s="25">
        <f t="shared" si="4"/>
        <v>87.843206678862572</v>
      </c>
      <c r="F114" s="6"/>
      <c r="G114" s="6"/>
    </row>
    <row r="115" spans="1:7" ht="17.5" customHeight="1">
      <c r="A115" s="22">
        <v>1898</v>
      </c>
      <c r="B115" s="6"/>
      <c r="C115" s="22">
        <f>'S2 - David-Solar raw data'!C114</f>
        <v>100</v>
      </c>
      <c r="D115" s="69">
        <f>0.1*D106+0.9*D116</f>
        <v>0.88670216435372573</v>
      </c>
      <c r="E115" s="25">
        <f t="shared" si="4"/>
        <v>88.670216435372566</v>
      </c>
      <c r="F115" s="6"/>
      <c r="G115" s="6"/>
    </row>
    <row r="116" spans="1:7" ht="17.5" customHeight="1">
      <c r="A116" s="22">
        <v>1899</v>
      </c>
      <c r="B116" s="25">
        <f>'E4-Benchmarks, 1869-1909'!N26</f>
        <v>89.497226191882561</v>
      </c>
      <c r="C116" s="22">
        <f>'S2 - David-Solar raw data'!C115</f>
        <v>100</v>
      </c>
      <c r="D116" s="69">
        <f>B116/C116</f>
        <v>0.89497226191882562</v>
      </c>
      <c r="E116" s="25">
        <f t="shared" si="4"/>
        <v>89.497226191882561</v>
      </c>
      <c r="F116" s="6"/>
      <c r="G116" s="6"/>
    </row>
    <row r="117" spans="1:7" ht="17.5" customHeight="1">
      <c r="A117" s="22">
        <v>1900</v>
      </c>
      <c r="B117" s="6"/>
      <c r="C117" s="22">
        <f>'S2 - David-Solar raw data'!C116</f>
        <v>101</v>
      </c>
      <c r="D117" s="69">
        <f>0.9*D116+0.1*D126</f>
        <v>0.91137553134859728</v>
      </c>
      <c r="E117" s="25">
        <f t="shared" si="4"/>
        <v>92.048928666208326</v>
      </c>
      <c r="F117" s="6"/>
      <c r="G117" s="6"/>
    </row>
    <row r="118" spans="1:7" ht="17.5" customHeight="1">
      <c r="A118" s="22">
        <v>1901</v>
      </c>
      <c r="B118" s="6"/>
      <c r="C118" s="22">
        <f>'S2 - David-Solar raw data'!C117</f>
        <v>102</v>
      </c>
      <c r="D118" s="69">
        <f>0.8*D116+0.2*D126</f>
        <v>0.92777880077836872</v>
      </c>
      <c r="E118" s="25">
        <f t="shared" si="4"/>
        <v>94.633437679393609</v>
      </c>
      <c r="F118" s="6"/>
      <c r="G118" s="6"/>
    </row>
    <row r="119" spans="1:7" ht="17.5" customHeight="1">
      <c r="A119" s="22">
        <v>1902</v>
      </c>
      <c r="B119" s="6"/>
      <c r="C119" s="22">
        <f>'S2 - David-Solar raw data'!C118</f>
        <v>103</v>
      </c>
      <c r="D119" s="69">
        <f>0.7*D116+0.3*D126</f>
        <v>0.94418207020814027</v>
      </c>
      <c r="E119" s="25">
        <f t="shared" si="4"/>
        <v>97.250753231438452</v>
      </c>
      <c r="F119" s="6"/>
      <c r="G119" s="6"/>
    </row>
    <row r="120" spans="1:7" ht="17.5" customHeight="1">
      <c r="A120" s="22">
        <v>1903</v>
      </c>
      <c r="B120" s="6"/>
      <c r="C120" s="22">
        <f>'S2 - David-Solar raw data'!C119</f>
        <v>106</v>
      </c>
      <c r="D120" s="69">
        <f>0.6*D116+0.4*D126</f>
        <v>0.96058533963791182</v>
      </c>
      <c r="E120" s="25">
        <f t="shared" si="4"/>
        <v>101.82204600161866</v>
      </c>
      <c r="F120" s="6"/>
      <c r="G120" s="6"/>
    </row>
    <row r="121" spans="1:7" ht="17.5" customHeight="1">
      <c r="A121" s="22">
        <v>1904</v>
      </c>
      <c r="B121" s="6"/>
      <c r="C121" s="22">
        <f>'S2 - David-Solar raw data'!C120</f>
        <v>107</v>
      </c>
      <c r="D121" s="69">
        <f>0.5*D116+0.5*D126</f>
        <v>0.97698860906768337</v>
      </c>
      <c r="E121" s="25">
        <f t="shared" si="4"/>
        <v>104.53778117024213</v>
      </c>
      <c r="F121" s="6"/>
      <c r="G121" s="6"/>
    </row>
    <row r="122" spans="1:7" ht="17.5" customHeight="1">
      <c r="A122" s="22">
        <v>1905</v>
      </c>
      <c r="B122" s="6"/>
      <c r="C122" s="22">
        <f>'S2 - David-Solar raw data'!C121</f>
        <v>106</v>
      </c>
      <c r="D122" s="69">
        <f>0.4*D116+0.6*D126</f>
        <v>0.99339187849745492</v>
      </c>
      <c r="E122" s="25">
        <f t="shared" si="4"/>
        <v>105.29953912073022</v>
      </c>
      <c r="F122" s="6"/>
      <c r="G122" s="6"/>
    </row>
    <row r="123" spans="1:7" ht="17.5" customHeight="1">
      <c r="A123" s="22">
        <v>1906</v>
      </c>
      <c r="B123" s="6"/>
      <c r="C123" s="22">
        <f>'S2 - David-Solar raw data'!C122</f>
        <v>108</v>
      </c>
      <c r="D123" s="69">
        <f>0.3*D116+0.7*D126</f>
        <v>1.0097951479272265</v>
      </c>
      <c r="E123" s="25">
        <f t="shared" si="4"/>
        <v>109.05787597614045</v>
      </c>
      <c r="F123" s="6"/>
      <c r="G123" s="6"/>
    </row>
    <row r="124" spans="1:7" ht="17.5" customHeight="1">
      <c r="A124" s="22">
        <v>1907</v>
      </c>
      <c r="B124" s="6"/>
      <c r="C124" s="22">
        <f>'S2 - David-Solar raw data'!C123</f>
        <v>113</v>
      </c>
      <c r="D124" s="69">
        <f>0.2*D116+0.8*D126</f>
        <v>1.026198417356998</v>
      </c>
      <c r="E124" s="25">
        <f t="shared" si="4"/>
        <v>115.96042116134078</v>
      </c>
      <c r="F124" s="6"/>
      <c r="G124" s="6"/>
    </row>
    <row r="125" spans="1:7" ht="17.5" customHeight="1">
      <c r="A125" s="22">
        <v>1908</v>
      </c>
      <c r="B125" s="6"/>
      <c r="C125" s="22">
        <f>'S2 - David-Solar raw data'!C124</f>
        <v>111</v>
      </c>
      <c r="D125" s="69">
        <f>0.1*D116+0.9*D126</f>
        <v>1.0426016867867696</v>
      </c>
      <c r="E125" s="25">
        <f t="shared" si="4"/>
        <v>115.72878723333142</v>
      </c>
      <c r="F125" s="6"/>
      <c r="G125" s="6"/>
    </row>
    <row r="126" spans="1:7" ht="17.5" customHeight="1">
      <c r="A126" s="22">
        <v>1909</v>
      </c>
      <c r="B126" s="25">
        <f>'E4-Benchmarks, 1869-1909'!N27</f>
        <v>115.43154022760298</v>
      </c>
      <c r="C126" s="22">
        <f>'S2 - David-Solar raw data'!C125</f>
        <v>109</v>
      </c>
      <c r="D126" s="69">
        <f>B126/C126</f>
        <v>1.0590049562165411</v>
      </c>
      <c r="E126" s="25">
        <f t="shared" si="4"/>
        <v>115.43154022760298</v>
      </c>
      <c r="F126" s="6"/>
      <c r="G126" s="6"/>
    </row>
    <row r="127" spans="1:7" ht="17.5" customHeight="1">
      <c r="A127" s="6"/>
      <c r="B127" s="6"/>
      <c r="C127" s="6"/>
      <c r="D127" s="6"/>
      <c r="E127" s="25"/>
      <c r="F127" s="6"/>
      <c r="G127" s="6"/>
    </row>
    <row r="128" spans="1:7" ht="15.75" customHeight="1">
      <c r="A128" s="237" t="s">
        <v>460</v>
      </c>
      <c r="B128" s="238"/>
      <c r="C128" s="238"/>
      <c r="D128" s="238"/>
      <c r="E128" s="238"/>
      <c r="F128" s="238"/>
      <c r="G128" s="238"/>
    </row>
    <row r="129" spans="1:7" ht="8" customHeight="1">
      <c r="A129" s="238"/>
      <c r="B129" s="238"/>
      <c r="C129" s="238"/>
      <c r="D129" s="238"/>
      <c r="E129" s="238"/>
      <c r="F129" s="238"/>
      <c r="G129" s="238"/>
    </row>
    <row r="130" spans="1:7" ht="33.75" customHeight="1">
      <c r="A130" s="238"/>
      <c r="B130" s="238"/>
      <c r="C130" s="238"/>
      <c r="D130" s="238"/>
      <c r="E130" s="238"/>
      <c r="F130" s="238"/>
      <c r="G130" s="238"/>
    </row>
  </sheetData>
  <mergeCells count="1">
    <mergeCell ref="A128:G130"/>
  </mergeCells>
  <pageMargins left="0.75" right="0.75" top="1" bottom="1" header="0.5" footer="0.5"/>
  <pageSetup orientation="portrait"/>
  <headerFooter>
    <oddFooter>&amp;C&amp;"Helvetica Neue,Regular"&amp;12&amp;K000000&amp;P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
  <sheetViews>
    <sheetView showGridLines="0" workbookViewId="0"/>
  </sheetViews>
  <sheetFormatPr baseColWidth="10" defaultColWidth="9.1640625" defaultRowHeight="16" customHeight="1"/>
  <cols>
    <col min="1" max="1" width="9.1640625" style="4" customWidth="1"/>
    <col min="2" max="2" width="14.6640625" style="4" customWidth="1"/>
    <col min="3" max="3" width="20.5" style="4" customWidth="1"/>
    <col min="4" max="4" width="20" style="4" customWidth="1"/>
    <col min="5" max="8" width="9.1640625" style="4" customWidth="1"/>
    <col min="9" max="16384" width="9.1640625" style="4"/>
  </cols>
  <sheetData>
    <row r="1" spans="1:7" ht="17.5" customHeight="1">
      <c r="A1" s="74" t="s">
        <v>526</v>
      </c>
      <c r="B1" s="6"/>
      <c r="C1" s="6"/>
      <c r="D1" s="6"/>
      <c r="E1" s="6"/>
      <c r="F1" s="6"/>
      <c r="G1" s="6"/>
    </row>
    <row r="2" spans="1:7" ht="17.5" customHeight="1">
      <c r="A2" s="74" t="s">
        <v>527</v>
      </c>
      <c r="B2" s="6"/>
      <c r="C2" s="6"/>
      <c r="D2" s="6"/>
      <c r="E2" s="6"/>
      <c r="F2" s="6"/>
      <c r="G2" s="6"/>
    </row>
    <row r="3" spans="1:7" ht="17.5" customHeight="1">
      <c r="A3" s="74" t="s">
        <v>478</v>
      </c>
      <c r="B3" s="6"/>
      <c r="C3" s="6"/>
      <c r="D3" s="6"/>
      <c r="E3" s="6"/>
      <c r="F3" s="6"/>
      <c r="G3" s="6"/>
    </row>
    <row r="4" spans="1:7" ht="17.5" customHeight="1">
      <c r="A4" s="16"/>
      <c r="B4" s="6"/>
      <c r="C4" s="6"/>
      <c r="D4" s="6"/>
      <c r="E4" s="6"/>
      <c r="F4" s="6"/>
      <c r="G4" s="6"/>
    </row>
    <row r="5" spans="1:7" ht="68" customHeight="1">
      <c r="A5" s="8" t="s">
        <v>95</v>
      </c>
      <c r="B5" s="21" t="s">
        <v>485</v>
      </c>
      <c r="C5" s="21" t="s">
        <v>528</v>
      </c>
      <c r="D5" s="21" t="s">
        <v>529</v>
      </c>
      <c r="E5" s="6"/>
      <c r="F5" s="6"/>
      <c r="G5" s="6"/>
    </row>
    <row r="6" spans="1:7" ht="17.5" customHeight="1">
      <c r="A6" s="22">
        <v>1793</v>
      </c>
      <c r="B6" s="69">
        <f>'E2-Benchmarks, 1793-1829'!E12</f>
        <v>0.26423754901960783</v>
      </c>
      <c r="C6" s="6"/>
      <c r="D6" s="6"/>
      <c r="E6" s="6"/>
      <c r="F6" s="6"/>
      <c r="G6" s="6"/>
    </row>
    <row r="7" spans="1:7" ht="17.5" customHeight="1">
      <c r="A7" s="22">
        <v>1799</v>
      </c>
      <c r="B7" s="69">
        <f>'E2-Benchmarks, 1793-1829'!E13</f>
        <v>0.37007943137254901</v>
      </c>
      <c r="C7" s="29">
        <f>('S13 -Weiss 1993 Table A3'!C8+'S13 -Weiss 1993 Table A3'!D8)/'S13 -Weiss 1993 Table A3'!F8</f>
        <v>0.5958683167699399</v>
      </c>
      <c r="D7" s="69">
        <f t="shared" ref="D7:D13" si="0">C7*B7</f>
        <v>0.22051860784313726</v>
      </c>
      <c r="E7" s="6"/>
      <c r="F7" s="6"/>
      <c r="G7" s="6"/>
    </row>
    <row r="8" spans="1:7" ht="17.5" customHeight="1">
      <c r="A8" s="22">
        <v>1809</v>
      </c>
      <c r="B8" s="69">
        <f>'E2-Benchmarks, 1793-1829'!E14</f>
        <v>0.53233758823529409</v>
      </c>
      <c r="C8" s="29">
        <f>('S13 -Weiss 1993 Table A3'!C9+'S13 -Weiss 1993 Table A3'!D9)/'S13 -Weiss 1993 Table A3'!F9</f>
        <v>0.56709862019225088</v>
      </c>
      <c r="D8" s="69">
        <f t="shared" si="0"/>
        <v>0.30188791176470586</v>
      </c>
      <c r="E8" s="6"/>
      <c r="F8" s="6"/>
      <c r="G8" s="6"/>
    </row>
    <row r="9" spans="1:7" ht="17.5" customHeight="1">
      <c r="A9" s="22">
        <v>1819</v>
      </c>
      <c r="B9" s="69">
        <f>'E2-Benchmarks, 1793-1829'!E15</f>
        <v>0.73280523529411767</v>
      </c>
      <c r="C9" s="29">
        <f>('S13 -Weiss 1993 Table A3'!C10+'S13 -Weiss 1993 Table A3'!D10)/'S13 -Weiss 1993 Table A3'!F10</f>
        <v>0.55986727019219484</v>
      </c>
      <c r="D9" s="69">
        <f t="shared" si="0"/>
        <v>0.4102736666666667</v>
      </c>
      <c r="E9" s="6"/>
      <c r="F9" s="6"/>
      <c r="G9" s="6"/>
    </row>
    <row r="10" spans="1:7" ht="17.5" customHeight="1">
      <c r="A10" s="22">
        <v>1829</v>
      </c>
      <c r="B10" s="69">
        <f>'E2-Benchmarks, 1793-1829'!E16</f>
        <v>1.0730841176470589</v>
      </c>
      <c r="C10" s="29">
        <f>('S13 -Weiss 1993 Table A3'!C11+'S13 -Weiss 1993 Table A3'!D11)/'S13 -Weiss 1993 Table A3'!F11</f>
        <v>0.54480810213697772</v>
      </c>
      <c r="D10" s="69">
        <f t="shared" si="0"/>
        <v>0.58462492156862744</v>
      </c>
      <c r="E10" s="6"/>
      <c r="F10" s="6"/>
      <c r="G10" s="6"/>
    </row>
    <row r="11" spans="1:7" ht="17.5" customHeight="1">
      <c r="A11" s="22">
        <v>1839</v>
      </c>
      <c r="B11" s="69">
        <f>'E3-Benchmarks, 1839-1859'!M13</f>
        <v>1.6646648890403741</v>
      </c>
      <c r="C11" s="29">
        <f>('S13 -Weiss 1993 Table A3'!C12+'S13 -Weiss 1993 Table A3'!D12)/'S13 -Weiss 1993 Table A3'!F12</f>
        <v>0.51523760463618806</v>
      </c>
      <c r="D11" s="69">
        <f t="shared" si="0"/>
        <v>0.85769794995112814</v>
      </c>
      <c r="E11" s="6"/>
      <c r="F11" s="6"/>
      <c r="G11" s="6"/>
    </row>
    <row r="12" spans="1:7" ht="17.5" customHeight="1">
      <c r="A12" s="22">
        <v>1849</v>
      </c>
      <c r="B12" s="69">
        <f>'E3-Benchmarks, 1839-1859'!M14</f>
        <v>2.5487707020540031</v>
      </c>
      <c r="C12" s="29">
        <f>('S13 -Weiss 1993 Table A3'!C13+'S13 -Weiss 1993 Table A3'!D13)/'S13 -Weiss 1993 Table A3'!F13</f>
        <v>0.42942767704109314</v>
      </c>
      <c r="D12" s="69">
        <f t="shared" si="0"/>
        <v>1.0945126818934467</v>
      </c>
      <c r="E12" s="6"/>
      <c r="F12" s="6"/>
      <c r="G12" s="6"/>
    </row>
    <row r="13" spans="1:7" ht="17.5" customHeight="1">
      <c r="A13" s="22">
        <v>1859</v>
      </c>
      <c r="B13" s="69">
        <f>'E3-Benchmarks, 1839-1859'!M15</f>
        <v>4.2976464327428952</v>
      </c>
      <c r="C13" s="29">
        <f>('S13 -Weiss 1993 Table A3'!C14+'S13 -Weiss 1993 Table A3'!D14)/'S13 -Weiss 1993 Table A3'!F14</f>
        <v>0.40498108248894477</v>
      </c>
      <c r="D13" s="69">
        <f t="shared" si="0"/>
        <v>1.7404655044869697</v>
      </c>
      <c r="E13" s="6"/>
      <c r="F13" s="6"/>
      <c r="G13" s="6"/>
    </row>
    <row r="14" spans="1:7" ht="17.5" customHeight="1">
      <c r="A14" s="6"/>
      <c r="B14" s="69"/>
      <c r="C14" s="6"/>
      <c r="D14" s="6"/>
      <c r="E14" s="6"/>
      <c r="F14" s="6"/>
      <c r="G14" s="6"/>
    </row>
    <row r="15" spans="1:7" ht="17.5" customHeight="1">
      <c r="A15" s="74" t="s">
        <v>530</v>
      </c>
      <c r="B15" s="6"/>
      <c r="C15" s="6"/>
      <c r="D15" s="6"/>
      <c r="E15" s="6"/>
      <c r="F15" s="6"/>
      <c r="G15" s="6"/>
    </row>
    <row r="16" spans="1:7" ht="17.5" customHeight="1">
      <c r="A16" s="74" t="s">
        <v>531</v>
      </c>
      <c r="B16" s="6"/>
      <c r="C16" s="6"/>
      <c r="D16" s="6"/>
      <c r="E16" s="6"/>
      <c r="F16" s="6"/>
      <c r="G16" s="6"/>
    </row>
    <row r="17" spans="1:7" ht="17.5" customHeight="1">
      <c r="A17" s="74" t="s">
        <v>532</v>
      </c>
      <c r="B17" s="6"/>
      <c r="C17" s="6"/>
      <c r="D17" s="6"/>
      <c r="E17" s="6"/>
      <c r="F17" s="6"/>
      <c r="G17" s="6"/>
    </row>
    <row r="18" spans="1:7" ht="13.75" customHeight="1">
      <c r="A18" s="6"/>
      <c r="B18" s="6"/>
      <c r="C18" s="6"/>
      <c r="D18" s="6"/>
      <c r="E18" s="6"/>
      <c r="F18" s="6"/>
      <c r="G18" s="6"/>
    </row>
    <row r="19" spans="1:7" ht="15.75" customHeight="1">
      <c r="A19" s="237" t="s">
        <v>460</v>
      </c>
      <c r="B19" s="238"/>
      <c r="C19" s="238"/>
      <c r="D19" s="238"/>
      <c r="E19" s="238"/>
      <c r="F19" s="238"/>
      <c r="G19" s="238"/>
    </row>
    <row r="20" spans="1:7" ht="8" customHeight="1">
      <c r="A20" s="238"/>
      <c r="B20" s="238"/>
      <c r="C20" s="238"/>
      <c r="D20" s="238"/>
      <c r="E20" s="238"/>
      <c r="F20" s="238"/>
      <c r="G20" s="238"/>
    </row>
    <row r="21" spans="1:7" ht="45" customHeight="1">
      <c r="A21" s="238"/>
      <c r="B21" s="238"/>
      <c r="C21" s="238"/>
      <c r="D21" s="238"/>
      <c r="E21" s="238"/>
      <c r="F21" s="238"/>
      <c r="G21" s="238"/>
    </row>
    <row r="22" spans="1:7" ht="18" customHeight="1">
      <c r="A22" s="239"/>
      <c r="B22" s="238"/>
      <c r="C22" s="238"/>
      <c r="D22" s="238"/>
      <c r="E22" s="238"/>
      <c r="F22" s="238"/>
      <c r="G22" s="238"/>
    </row>
  </sheetData>
  <mergeCells count="2">
    <mergeCell ref="A19:G21"/>
    <mergeCell ref="A22:G22"/>
  </mergeCells>
  <pageMargins left="0.75" right="0.75" top="1" bottom="1" header="0.5" footer="0.5"/>
  <pageSetup orientation="portrait"/>
  <headerFooter>
    <oddFooter>&amp;C&amp;"Helvetica Neue,Regular"&amp;12&amp;K000000&amp;P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34"/>
  <sheetViews>
    <sheetView showGridLines="0" topLeftCell="A7" workbookViewId="0"/>
  </sheetViews>
  <sheetFormatPr baseColWidth="10" defaultColWidth="9.1640625" defaultRowHeight="16" customHeight="1"/>
  <cols>
    <col min="1" max="1" width="9.5" style="4" customWidth="1"/>
    <col min="2" max="5" width="13.1640625" style="4" customWidth="1"/>
    <col min="6" max="6" width="15.6640625" style="4" customWidth="1"/>
    <col min="7" max="7" width="15.5" style="4" customWidth="1"/>
    <col min="8" max="8" width="13.6640625" style="4" customWidth="1"/>
    <col min="9" max="9" width="10.1640625" style="4" customWidth="1"/>
    <col min="10" max="10" width="14.1640625" style="4" customWidth="1"/>
    <col min="11" max="11" width="11.5" style="4" customWidth="1"/>
    <col min="12" max="12" width="15" style="4" customWidth="1"/>
    <col min="13" max="13" width="18" style="4" customWidth="1"/>
    <col min="14" max="14" width="9.1640625" style="4" customWidth="1"/>
    <col min="15" max="16384" width="9.1640625" style="4"/>
  </cols>
  <sheetData>
    <row r="1" spans="1:13" ht="17.5" customHeight="1">
      <c r="A1" s="8" t="s">
        <v>534</v>
      </c>
      <c r="B1" s="6"/>
      <c r="C1" s="6"/>
      <c r="D1" s="6"/>
      <c r="E1" s="6"/>
      <c r="F1" s="6"/>
      <c r="G1" s="6"/>
      <c r="H1" s="6"/>
      <c r="I1" s="6"/>
      <c r="J1" s="6"/>
      <c r="K1" s="6"/>
      <c r="L1" s="6"/>
      <c r="M1" s="6"/>
    </row>
    <row r="2" spans="1:13" ht="18" customHeight="1">
      <c r="A2" s="8" t="s">
        <v>535</v>
      </c>
      <c r="B2" s="6"/>
      <c r="C2" s="6"/>
      <c r="D2" s="6"/>
      <c r="E2" s="6"/>
      <c r="F2" s="6"/>
      <c r="G2" s="6"/>
      <c r="H2" s="6"/>
      <c r="I2" s="6"/>
      <c r="J2" s="6"/>
      <c r="K2" s="6"/>
      <c r="L2" s="6"/>
      <c r="M2" s="6"/>
    </row>
    <row r="3" spans="1:13" ht="17.5" customHeight="1">
      <c r="A3" s="8" t="s">
        <v>536</v>
      </c>
      <c r="B3" s="6"/>
      <c r="C3" s="6"/>
      <c r="D3" s="6"/>
      <c r="E3" s="6"/>
      <c r="F3" s="6"/>
      <c r="G3" s="6"/>
      <c r="H3" s="6"/>
      <c r="I3" s="6"/>
      <c r="J3" s="6"/>
      <c r="K3" s="6"/>
      <c r="L3" s="6"/>
      <c r="M3" s="6"/>
    </row>
    <row r="4" spans="1:13" ht="17.5" customHeight="1">
      <c r="A4" s="8" t="s">
        <v>537</v>
      </c>
      <c r="B4" s="6"/>
      <c r="C4" s="6"/>
      <c r="D4" s="6"/>
      <c r="E4" s="6"/>
      <c r="F4" s="6"/>
      <c r="G4" s="6"/>
      <c r="H4" s="6"/>
      <c r="I4" s="6"/>
      <c r="J4" s="6"/>
      <c r="K4" s="6"/>
      <c r="L4" s="6"/>
      <c r="M4" s="6"/>
    </row>
    <row r="5" spans="1:13" ht="17.5" customHeight="1">
      <c r="A5" s="8" t="s">
        <v>478</v>
      </c>
      <c r="B5" s="6"/>
      <c r="C5" s="6"/>
      <c r="D5" s="6"/>
      <c r="E5" s="6"/>
      <c r="F5" s="6"/>
      <c r="G5" s="6"/>
      <c r="H5" s="6"/>
      <c r="I5" s="6"/>
      <c r="J5" s="6"/>
      <c r="K5" s="6"/>
      <c r="L5" s="6"/>
      <c r="M5" s="6"/>
    </row>
    <row r="6" spans="1:13" ht="17.5" customHeight="1">
      <c r="A6" s="110"/>
      <c r="B6" s="6"/>
      <c r="C6" s="6"/>
      <c r="D6" s="6"/>
      <c r="E6" s="130"/>
      <c r="F6" s="6"/>
      <c r="G6" s="6"/>
      <c r="H6" s="6"/>
      <c r="I6" s="6"/>
      <c r="J6" s="6"/>
      <c r="K6" s="6"/>
      <c r="L6" s="6"/>
      <c r="M6" s="6"/>
    </row>
    <row r="7" spans="1:13" ht="15.75" customHeight="1">
      <c r="A7" s="6"/>
      <c r="B7" s="6"/>
      <c r="C7" s="30"/>
      <c r="D7" s="30"/>
      <c r="E7" s="235" t="s">
        <v>538</v>
      </c>
      <c r="F7" s="236"/>
      <c r="G7" s="236"/>
      <c r="H7" s="229" t="s">
        <v>229</v>
      </c>
      <c r="I7" s="230"/>
      <c r="J7" s="230"/>
      <c r="K7" s="230"/>
      <c r="L7" s="229" t="s">
        <v>539</v>
      </c>
      <c r="M7" s="230"/>
    </row>
    <row r="8" spans="1:13" ht="141.75" customHeight="1">
      <c r="A8" s="8" t="s">
        <v>95</v>
      </c>
      <c r="B8" s="12" t="s">
        <v>540</v>
      </c>
      <c r="C8" s="12" t="s">
        <v>541</v>
      </c>
      <c r="D8" s="12" t="s">
        <v>542</v>
      </c>
      <c r="E8" s="12" t="s">
        <v>543</v>
      </c>
      <c r="F8" s="12" t="s">
        <v>544</v>
      </c>
      <c r="G8" s="12" t="s">
        <v>545</v>
      </c>
      <c r="H8" s="12" t="s">
        <v>546</v>
      </c>
      <c r="I8" s="12" t="s">
        <v>547</v>
      </c>
      <c r="J8" s="12" t="s">
        <v>548</v>
      </c>
      <c r="K8" s="12" t="s">
        <v>549</v>
      </c>
      <c r="L8" s="12" t="s">
        <v>550</v>
      </c>
      <c r="M8" s="12" t="s">
        <v>551</v>
      </c>
    </row>
    <row r="9" spans="1:13" ht="17.5" customHeight="1">
      <c r="A9" s="108">
        <v>1781</v>
      </c>
      <c r="B9" s="131">
        <f>'S5 - McCusker Table 2'!B10/1000000</f>
        <v>0.15503</v>
      </c>
      <c r="C9" s="132">
        <f>C10*(1-'S4 - Mancall and Weiss raw data'!$K$11)</f>
        <v>0.59349078894897211</v>
      </c>
      <c r="D9" s="132"/>
      <c r="E9" s="133">
        <f>C9*B9</f>
        <v>9.2008877010759146E-2</v>
      </c>
      <c r="F9" s="15"/>
      <c r="G9" s="131">
        <f>E9</f>
        <v>9.2008877010759146E-2</v>
      </c>
      <c r="H9" s="15"/>
      <c r="I9" s="124"/>
      <c r="J9" s="124"/>
      <c r="K9" s="15"/>
      <c r="L9" s="15"/>
      <c r="M9" s="15"/>
    </row>
    <row r="10" spans="1:13" ht="17.5" customHeight="1">
      <c r="A10" s="108">
        <v>1782</v>
      </c>
      <c r="B10" s="134"/>
      <c r="C10" s="132">
        <f>C11*(1-'S4 - Mancall and Weiss raw data'!$K$11)</f>
        <v>0.59362262460649529</v>
      </c>
      <c r="D10" s="132"/>
      <c r="E10" s="15"/>
      <c r="F10" s="15"/>
      <c r="G10" s="131">
        <f t="shared" ref="G10:G20" si="0">G9*(1+$F$21)</f>
        <v>9.6210932486477552E-2</v>
      </c>
      <c r="H10" s="15"/>
      <c r="I10" s="124"/>
      <c r="J10" s="124"/>
      <c r="K10" s="15"/>
      <c r="L10" s="15"/>
      <c r="M10" s="15"/>
    </row>
    <row r="11" spans="1:13" ht="17.5" customHeight="1">
      <c r="A11" s="108">
        <v>1783</v>
      </c>
      <c r="B11" s="134"/>
      <c r="C11" s="132">
        <f>C12*(1-'S4 - Mancall and Weiss raw data'!$K$11)</f>
        <v>0.59375448954946142</v>
      </c>
      <c r="D11" s="132"/>
      <c r="E11" s="15"/>
      <c r="F11" s="15"/>
      <c r="G11" s="131">
        <f t="shared" si="0"/>
        <v>0.10060489629533374</v>
      </c>
      <c r="H11" s="15"/>
      <c r="I11" s="124"/>
      <c r="J11" s="124"/>
      <c r="K11" s="15"/>
      <c r="L11" s="15"/>
      <c r="M11" s="15"/>
    </row>
    <row r="12" spans="1:13" ht="17.5" customHeight="1">
      <c r="A12" s="108">
        <v>1784</v>
      </c>
      <c r="B12" s="134"/>
      <c r="C12" s="132">
        <f>C13*(1-'S4 - Mancall and Weiss raw data'!$K$11)</f>
        <v>0.59388638378437575</v>
      </c>
      <c r="D12" s="132"/>
      <c r="E12" s="15"/>
      <c r="F12" s="15"/>
      <c r="G12" s="131">
        <f t="shared" si="0"/>
        <v>0.10519953291189037</v>
      </c>
      <c r="H12" s="15"/>
      <c r="I12" s="124"/>
      <c r="J12" s="124"/>
      <c r="K12" s="15"/>
      <c r="L12" s="15"/>
      <c r="M12" s="15"/>
    </row>
    <row r="13" spans="1:13" ht="17.5" customHeight="1">
      <c r="A13" s="108">
        <v>1785</v>
      </c>
      <c r="B13" s="134"/>
      <c r="C13" s="132">
        <f>C14*(1-'S4 - Mancall and Weiss raw data'!$K$11)</f>
        <v>0.59401830731774508</v>
      </c>
      <c r="D13" s="132"/>
      <c r="E13" s="15"/>
      <c r="F13" s="15"/>
      <c r="G13" s="131">
        <f t="shared" si="0"/>
        <v>0.11000400708522187</v>
      </c>
      <c r="H13" s="15"/>
      <c r="I13" s="124"/>
      <c r="J13" s="124"/>
      <c r="K13" s="15"/>
      <c r="L13" s="15"/>
      <c r="M13" s="15"/>
    </row>
    <row r="14" spans="1:13" ht="17.5" customHeight="1">
      <c r="A14" s="108">
        <v>1786</v>
      </c>
      <c r="B14" s="134"/>
      <c r="C14" s="132">
        <f>C15*(1-'S4 - Mancall and Weiss raw data'!$K$11)</f>
        <v>0.59415026015607764</v>
      </c>
      <c r="D14" s="132"/>
      <c r="E14" s="15"/>
      <c r="F14" s="15"/>
      <c r="G14" s="131">
        <f t="shared" si="0"/>
        <v>0.11502790211949525</v>
      </c>
      <c r="H14" s="15"/>
      <c r="I14" s="124"/>
      <c r="J14" s="124"/>
      <c r="K14" s="15"/>
      <c r="L14" s="15"/>
      <c r="M14" s="15"/>
    </row>
    <row r="15" spans="1:13" ht="17.5" customHeight="1">
      <c r="A15" s="108">
        <v>1787</v>
      </c>
      <c r="B15" s="134"/>
      <c r="C15" s="132">
        <f>C16*(1-'S4 - Mancall and Weiss raw data'!$K$11)</f>
        <v>0.59428224230588311</v>
      </c>
      <c r="D15" s="132"/>
      <c r="E15" s="15"/>
      <c r="F15" s="15"/>
      <c r="G15" s="131">
        <f t="shared" si="0"/>
        <v>0.12028123898942687</v>
      </c>
      <c r="H15" s="15"/>
      <c r="I15" s="124"/>
      <c r="J15" s="124"/>
      <c r="K15" s="15"/>
      <c r="L15" s="15"/>
      <c r="M15" s="15"/>
    </row>
    <row r="16" spans="1:13" ht="17.5" customHeight="1">
      <c r="A16" s="108">
        <v>1788</v>
      </c>
      <c r="B16" s="134"/>
      <c r="C16" s="132">
        <f>C17*(1-'S4 - Mancall and Weiss raw data'!$K$11)</f>
        <v>0.59441425377367274</v>
      </c>
      <c r="D16" s="132"/>
      <c r="E16" s="15"/>
      <c r="F16" s="15"/>
      <c r="G16" s="131">
        <f t="shared" si="0"/>
        <v>0.12577449632874438</v>
      </c>
      <c r="H16" s="15"/>
      <c r="I16" s="124"/>
      <c r="J16" s="124"/>
      <c r="K16" s="15"/>
      <c r="L16" s="15"/>
      <c r="M16" s="15"/>
    </row>
    <row r="17" spans="1:13" ht="17.5" customHeight="1">
      <c r="A17" s="108">
        <v>1789</v>
      </c>
      <c r="B17" s="134"/>
      <c r="C17" s="132">
        <f>C18*(1-'S4 - Mancall and Weiss raw data'!$K$11)</f>
        <v>0.59454629456595898</v>
      </c>
      <c r="D17" s="132"/>
      <c r="E17" s="15"/>
      <c r="F17" s="15"/>
      <c r="G17" s="131">
        <f t="shared" si="0"/>
        <v>0.13151863133152375</v>
      </c>
      <c r="H17" s="15"/>
      <c r="I17" s="135"/>
      <c r="J17" s="135"/>
      <c r="K17" s="131"/>
      <c r="L17" s="15"/>
      <c r="M17" s="131"/>
    </row>
    <row r="18" spans="1:13" ht="17.5" customHeight="1">
      <c r="A18" s="108">
        <v>1790</v>
      </c>
      <c r="B18" s="134"/>
      <c r="C18" s="132">
        <f>C19*(1-'S4 - Mancall and Weiss raw data'!$K$11)</f>
        <v>0.59467836468925594</v>
      </c>
      <c r="D18" s="132"/>
      <c r="E18" s="15"/>
      <c r="F18" s="15"/>
      <c r="G18" s="131">
        <f t="shared" si="0"/>
        <v>0.13752510160809278</v>
      </c>
      <c r="H18" s="15"/>
      <c r="I18" s="135">
        <f>'S3 - Davis 2004 IIP'!C9</f>
        <v>4.3738485085798642</v>
      </c>
      <c r="J18" s="136">
        <f>((1+($J$21/$J$27)^(1/7)-1))*J19</f>
        <v>1.7727666741325355E-2</v>
      </c>
      <c r="K18" s="131">
        <f t="shared" ref="K18:K26" si="1">I18*J18</f>
        <v>7.7538128737146758E-2</v>
      </c>
      <c r="L18" s="15"/>
      <c r="M18" s="131">
        <f t="shared" ref="M18:M26" si="2">G18+K18</f>
        <v>0.21506323034523955</v>
      </c>
    </row>
    <row r="19" spans="1:13" ht="17.5" customHeight="1">
      <c r="A19" s="108">
        <v>1791</v>
      </c>
      <c r="B19" s="134"/>
      <c r="C19" s="132">
        <f>C20*(1-'S4 - Mancall and Weiss raw data'!$K$11)</f>
        <v>0.59481046415007899</v>
      </c>
      <c r="D19" s="132"/>
      <c r="E19" s="15"/>
      <c r="F19" s="15"/>
      <c r="G19" s="131">
        <f t="shared" si="0"/>
        <v>0.14380588803909597</v>
      </c>
      <c r="H19" s="15"/>
      <c r="I19" s="135">
        <f>'S3 - Davis 2004 IIP'!C10</f>
        <v>4.6532068514045006</v>
      </c>
      <c r="J19" s="136">
        <f>((1+($J$21/$J$27)^(1/7)-1))*J20</f>
        <v>1.8090590702044017E-2</v>
      </c>
      <c r="K19" s="131">
        <f t="shared" si="1"/>
        <v>8.4179260600705769E-2</v>
      </c>
      <c r="L19" s="15"/>
      <c r="M19" s="131">
        <f t="shared" si="2"/>
        <v>0.22798514863980174</v>
      </c>
    </row>
    <row r="20" spans="1:13" ht="17.5" customHeight="1">
      <c r="A20" s="108">
        <v>1792</v>
      </c>
      <c r="B20" s="6"/>
      <c r="C20" s="132">
        <f>C21*(1-'S4 - Mancall and Weiss raw data'!$K$11)</f>
        <v>0.59494259295494512</v>
      </c>
      <c r="D20" s="132"/>
      <c r="E20" s="6"/>
      <c r="F20" s="6"/>
      <c r="G20" s="131">
        <f t="shared" si="0"/>
        <v>0.15037351867330714</v>
      </c>
      <c r="H20" s="6"/>
      <c r="I20" s="135">
        <f>'S3 - Davis 2004 IIP'!C11</f>
        <v>5.1143188896724929</v>
      </c>
      <c r="J20" s="136">
        <f>((1+($J$21/$J$27)^(1/7)-1))*J21</f>
        <v>1.8460944506925796E-2</v>
      </c>
      <c r="K20" s="131">
        <f t="shared" si="1"/>
        <v>9.4415157212966241E-2</v>
      </c>
      <c r="L20" s="6"/>
      <c r="M20" s="131">
        <f t="shared" si="2"/>
        <v>0.2447886758862734</v>
      </c>
    </row>
    <row r="21" spans="1:13" ht="17.5" customHeight="1">
      <c r="A21" s="108">
        <v>1793</v>
      </c>
      <c r="B21" s="137">
        <f>'E2-Benchmarks, 1793-1829'!E12</f>
        <v>0.26423754901960783</v>
      </c>
      <c r="C21" s="132">
        <f>C22*(1-'S4 - Mancall and Weiss raw data'!$K$11)</f>
        <v>0.59507475111037278</v>
      </c>
      <c r="D21" s="132"/>
      <c r="E21" s="133">
        <f>B21*C21</f>
        <v>0.15724109371685804</v>
      </c>
      <c r="F21" s="138">
        <f>(E21/E9)^(1/(A21-A9))-1</f>
        <v>4.5670109365936851E-2</v>
      </c>
      <c r="G21" s="131">
        <f>E21</f>
        <v>0.15724109371685804</v>
      </c>
      <c r="H21" s="131">
        <f>B21-E21</f>
        <v>0.10699645530274979</v>
      </c>
      <c r="I21" s="135">
        <f>'S3 - Davis 2004 IIP'!C12</f>
        <v>5.6795549321403858</v>
      </c>
      <c r="J21" s="136">
        <f>H21/I21</f>
        <v>1.8838880261067802E-2</v>
      </c>
      <c r="K21" s="131">
        <f t="shared" si="1"/>
        <v>0.10699645530274979</v>
      </c>
      <c r="L21" s="133">
        <f>B21</f>
        <v>0.26423754901960783</v>
      </c>
      <c r="M21" s="131">
        <f t="shared" si="2"/>
        <v>0.26423754901960783</v>
      </c>
    </row>
    <row r="22" spans="1:13" ht="17.5" customHeight="1">
      <c r="A22" s="108">
        <v>1794</v>
      </c>
      <c r="B22" s="134"/>
      <c r="C22" s="132">
        <f>C23*(1-'S4 - Mancall and Weiss raw data'!$K$11)</f>
        <v>0.59520693862288165</v>
      </c>
      <c r="D22" s="132"/>
      <c r="E22" s="15"/>
      <c r="F22" s="15"/>
      <c r="G22" s="131">
        <f>G21*(1+$F$27)</f>
        <v>0.16635885413343027</v>
      </c>
      <c r="H22" s="15"/>
      <c r="I22" s="135">
        <f>'S3 - Davis 2004 IIP'!C13</f>
        <v>6.2490754643603088</v>
      </c>
      <c r="J22" s="136">
        <f>(2/7)*($H$27/$I$27)+(5/7)*($H$21/$I$20)</f>
        <v>2.1146448419531332E-2</v>
      </c>
      <c r="K22" s="131">
        <f t="shared" si="1"/>
        <v>0.13214575197685408</v>
      </c>
      <c r="L22" s="15"/>
      <c r="M22" s="131">
        <f t="shared" si="2"/>
        <v>0.29850460611028434</v>
      </c>
    </row>
    <row r="23" spans="1:13" ht="17.5" customHeight="1">
      <c r="A23" s="108">
        <v>1795</v>
      </c>
      <c r="B23" s="134"/>
      <c r="C23" s="132">
        <f>C24*(1-'S4 - Mancall and Weiss raw data'!$K$11)</f>
        <v>0.59533915549899308</v>
      </c>
      <c r="D23" s="132"/>
      <c r="E23" s="15"/>
      <c r="F23" s="15"/>
      <c r="G23" s="131">
        <f>G22*(1+$F$27)</f>
        <v>0.17600531575048961</v>
      </c>
      <c r="H23" s="15"/>
      <c r="I23" s="135">
        <f>'S3 - Davis 2004 IIP'!C14</f>
        <v>6.6284234483938027</v>
      </c>
      <c r="J23" s="136">
        <f>(3/7)*($H$27/$I$27)+(4/7)*($H$21/$I$20)</f>
        <v>2.1259193178278488E-2</v>
      </c>
      <c r="K23" s="131">
        <f t="shared" si="1"/>
        <v>0.14091493455683471</v>
      </c>
      <c r="L23" s="15"/>
      <c r="M23" s="131">
        <f t="shared" si="2"/>
        <v>0.31692025030732429</v>
      </c>
    </row>
    <row r="24" spans="1:13" ht="17.5" customHeight="1">
      <c r="A24" s="108">
        <v>1796</v>
      </c>
      <c r="B24" s="134"/>
      <c r="C24" s="132">
        <f>C25*(1-'S4 - Mancall and Weiss raw data'!$K$11)</f>
        <v>0.59547140174522972</v>
      </c>
      <c r="D24" s="132"/>
      <c r="E24" s="15"/>
      <c r="F24" s="15"/>
      <c r="G24" s="131">
        <f>G23*(1+$F$27)</f>
        <v>0.18621113576307363</v>
      </c>
      <c r="H24" s="15"/>
      <c r="I24" s="135">
        <f>'S3 - Davis 2004 IIP'!C15</f>
        <v>6.5634430045739496</v>
      </c>
      <c r="J24" s="136">
        <f>(4/7)*($H$27/$I$27)+(3/7)*($H$21/$I$20)</f>
        <v>2.1371937937025649E-2</v>
      </c>
      <c r="K24" s="131">
        <f t="shared" si="1"/>
        <v>0.14027349654695961</v>
      </c>
      <c r="L24" s="15"/>
      <c r="M24" s="131">
        <f t="shared" si="2"/>
        <v>0.32648463231003322</v>
      </c>
    </row>
    <row r="25" spans="1:13" ht="17.5" customHeight="1">
      <c r="A25" s="108">
        <v>1797</v>
      </c>
      <c r="B25" s="134"/>
      <c r="C25" s="132">
        <f>C26*(1-'S4 - Mancall and Weiss raw data'!$K$11)</f>
        <v>0.5956036773681157</v>
      </c>
      <c r="D25" s="132"/>
      <c r="E25" s="15"/>
      <c r="F25" s="15"/>
      <c r="G25" s="131">
        <f>G24*(1+$F$27)</f>
        <v>0.19700874905011145</v>
      </c>
      <c r="H25" s="15"/>
      <c r="I25" s="135">
        <f>'S3 - Davis 2004 IIP'!C16</f>
        <v>6.3069209286723336</v>
      </c>
      <c r="J25" s="136">
        <f>(5/7)*($H$27/$I$27)+(2/7)*($H$21/$I$20)</f>
        <v>2.1484682695772809E-2</v>
      </c>
      <c r="K25" s="131">
        <f t="shared" si="1"/>
        <v>0.13550219493985385</v>
      </c>
      <c r="L25" s="15"/>
      <c r="M25" s="131">
        <f t="shared" si="2"/>
        <v>0.33251094398996528</v>
      </c>
    </row>
    <row r="26" spans="1:13" ht="17.5" customHeight="1">
      <c r="A26" s="108">
        <v>1798</v>
      </c>
      <c r="B26" s="134"/>
      <c r="C26" s="132">
        <f>C27*(1-'S4 - Mancall and Weiss raw data'!$K$11)</f>
        <v>0.5957359823741768</v>
      </c>
      <c r="D26" s="132"/>
      <c r="E26" s="15"/>
      <c r="F26" s="15"/>
      <c r="G26" s="131">
        <f>G25*(1+$F$27)</f>
        <v>0.20843247125495729</v>
      </c>
      <c r="H26" s="15"/>
      <c r="I26" s="135">
        <f>'S3 - Davis 2004 IIP'!C17</f>
        <v>6.3804494128755493</v>
      </c>
      <c r="J26" s="136">
        <f>(6/7)*($H$27/$I$27)+(1/7)*($H$21/$I$20)</f>
        <v>2.1597427454519969E-2</v>
      </c>
      <c r="K26" s="131">
        <f t="shared" si="1"/>
        <v>0.13780129332181421</v>
      </c>
      <c r="L26" s="15"/>
      <c r="M26" s="131">
        <f t="shared" si="2"/>
        <v>0.34623376457677146</v>
      </c>
    </row>
    <row r="27" spans="1:13" ht="17.5" customHeight="1">
      <c r="A27" s="22">
        <v>1799</v>
      </c>
      <c r="B27" s="28">
        <f>'E2-Benchmarks, 1793-1829'!E13</f>
        <v>0.37007943137254901</v>
      </c>
      <c r="C27" s="132">
        <f>E27/B27</f>
        <v>0.5958683167699399</v>
      </c>
      <c r="D27" s="132"/>
      <c r="E27" s="28">
        <f>'E6 - Ag share of GDP 1793-1859'!D7</f>
        <v>0.22051860784313726</v>
      </c>
      <c r="F27" s="29">
        <f>(E27/E21)^(1/(A27-A21))-1</f>
        <v>5.7985862353453488E-2</v>
      </c>
      <c r="G27" s="131">
        <f>E27</f>
        <v>0.22051860784313726</v>
      </c>
      <c r="H27" s="28">
        <f>B27-E27</f>
        <v>0.14956082352941175</v>
      </c>
      <c r="I27" s="139">
        <f>'S3 - Davis 2004 IIP'!C18</f>
        <v>6.8889745350806031</v>
      </c>
      <c r="J27" s="140">
        <f>H27/I27</f>
        <v>2.1710172213267129E-2</v>
      </c>
      <c r="K27" s="28">
        <f>J27*I27</f>
        <v>0.14956082352941175</v>
      </c>
      <c r="L27" s="28">
        <f>B27</f>
        <v>0.37007943137254901</v>
      </c>
      <c r="M27" s="28">
        <f>L27</f>
        <v>0.37007943137254901</v>
      </c>
    </row>
    <row r="28" spans="1:13" ht="17.5" customHeight="1">
      <c r="A28" s="6"/>
      <c r="B28" s="6"/>
      <c r="C28" s="31"/>
      <c r="D28" s="6"/>
      <c r="E28" s="6"/>
      <c r="F28" s="6"/>
      <c r="G28" s="6"/>
      <c r="H28" s="6"/>
      <c r="I28" s="6"/>
      <c r="J28" s="6"/>
      <c r="K28" s="6"/>
      <c r="L28" s="6"/>
      <c r="M28" s="6"/>
    </row>
    <row r="29" spans="1:13" ht="17.5" customHeight="1">
      <c r="A29" s="8" t="s">
        <v>552</v>
      </c>
      <c r="B29" s="6"/>
      <c r="C29" s="6"/>
      <c r="D29" s="6"/>
      <c r="E29" s="6"/>
      <c r="F29" s="6"/>
      <c r="G29" s="6"/>
      <c r="H29" s="6"/>
      <c r="I29" s="6"/>
      <c r="J29" s="6"/>
      <c r="K29" s="6"/>
      <c r="L29" s="6"/>
      <c r="M29" s="6"/>
    </row>
    <row r="30" spans="1:13" ht="13.75" customHeight="1">
      <c r="A30" s="6"/>
      <c r="B30" s="6"/>
      <c r="C30" s="6"/>
      <c r="D30" s="6"/>
      <c r="E30" s="6"/>
      <c r="F30" s="6"/>
      <c r="G30" s="6"/>
      <c r="H30" s="6"/>
      <c r="I30" s="6"/>
      <c r="J30" s="6"/>
      <c r="K30" s="6"/>
      <c r="L30" s="6"/>
      <c r="M30" s="6"/>
    </row>
    <row r="31" spans="1:13" ht="13.75" customHeight="1">
      <c r="A31" s="6"/>
      <c r="B31" s="6"/>
      <c r="C31" s="6"/>
      <c r="D31" s="6"/>
      <c r="E31" s="6"/>
      <c r="F31" s="6"/>
      <c r="G31" s="6"/>
      <c r="H31" s="6"/>
      <c r="I31" s="6"/>
      <c r="J31" s="6"/>
      <c r="K31" s="6"/>
      <c r="L31" s="6"/>
      <c r="M31" s="6"/>
    </row>
    <row r="32" spans="1:13" ht="13.75" customHeight="1">
      <c r="A32" s="237" t="s">
        <v>460</v>
      </c>
      <c r="B32" s="238"/>
      <c r="C32" s="238"/>
      <c r="D32" s="238"/>
      <c r="E32" s="238"/>
      <c r="F32" s="238"/>
      <c r="G32" s="238"/>
      <c r="H32" s="6"/>
      <c r="I32" s="6"/>
      <c r="J32" s="6"/>
      <c r="K32" s="6"/>
      <c r="L32" s="6"/>
      <c r="M32" s="6"/>
    </row>
    <row r="33" spans="1:13" ht="13.75" customHeight="1">
      <c r="A33" s="238"/>
      <c r="B33" s="238"/>
      <c r="C33" s="238"/>
      <c r="D33" s="238"/>
      <c r="E33" s="238"/>
      <c r="F33" s="238"/>
      <c r="G33" s="238"/>
      <c r="H33" s="6"/>
      <c r="I33" s="6"/>
      <c r="J33" s="6"/>
      <c r="K33" s="6"/>
      <c r="L33" s="6"/>
      <c r="M33" s="6"/>
    </row>
    <row r="34" spans="1:13" ht="51" customHeight="1">
      <c r="A34" s="238"/>
      <c r="B34" s="238"/>
      <c r="C34" s="238"/>
      <c r="D34" s="238"/>
      <c r="E34" s="238"/>
      <c r="F34" s="238"/>
      <c r="G34" s="238"/>
      <c r="H34" s="6"/>
      <c r="I34" s="6"/>
      <c r="J34" s="6"/>
      <c r="K34" s="6"/>
      <c r="L34" s="6"/>
      <c r="M34" s="6"/>
    </row>
  </sheetData>
  <mergeCells count="4">
    <mergeCell ref="E7:G7"/>
    <mergeCell ref="H7:K7"/>
    <mergeCell ref="L7:M7"/>
    <mergeCell ref="A32:G34"/>
  </mergeCells>
  <pageMargins left="0.75" right="0.75" top="1" bottom="1" header="0.5" footer="0.5"/>
  <pageSetup orientation="landscape"/>
  <headerFooter>
    <oddFooter>&amp;C&amp;"Helvetica Neue,Regular"&amp;12&amp;K000000&amp;P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85"/>
  <sheetViews>
    <sheetView showGridLines="0" topLeftCell="A47" workbookViewId="0">
      <selection activeCell="N76" sqref="N76"/>
    </sheetView>
  </sheetViews>
  <sheetFormatPr baseColWidth="10" defaultColWidth="9.1640625" defaultRowHeight="16" customHeight="1"/>
  <cols>
    <col min="1" max="1" width="9.5" style="4" customWidth="1"/>
    <col min="2" max="3" width="14.5" style="4" customWidth="1"/>
    <col min="4" max="4" width="15.6640625" style="4" customWidth="1"/>
    <col min="5" max="5" width="11.5" style="4" customWidth="1"/>
    <col min="6" max="7" width="12.83203125" style="4" customWidth="1"/>
    <col min="8" max="8" width="10.1640625" style="4" customWidth="1"/>
    <col min="9" max="9" width="16" style="4" customWidth="1"/>
    <col min="10" max="10" width="10.1640625" style="4" customWidth="1"/>
    <col min="11" max="12" width="14.5" style="4" customWidth="1"/>
    <col min="13" max="13" width="9.1640625" style="4" customWidth="1"/>
    <col min="14" max="16384" width="9.1640625" style="4"/>
  </cols>
  <sheetData>
    <row r="1" spans="1:12" ht="17.5" customHeight="1">
      <c r="A1" s="8" t="s">
        <v>554</v>
      </c>
      <c r="B1" s="6"/>
      <c r="C1" s="6"/>
      <c r="D1" s="6"/>
      <c r="E1" s="6"/>
      <c r="F1" s="6"/>
      <c r="G1" s="6"/>
      <c r="H1" s="6"/>
      <c r="I1" s="6"/>
      <c r="J1" s="6"/>
      <c r="K1" s="6"/>
      <c r="L1" s="6"/>
    </row>
    <row r="2" spans="1:12" ht="18" customHeight="1">
      <c r="A2" s="8" t="s">
        <v>535</v>
      </c>
      <c r="B2" s="6"/>
      <c r="C2" s="6"/>
      <c r="D2" s="6"/>
      <c r="E2" s="6"/>
      <c r="F2" s="6"/>
      <c r="G2" s="6"/>
      <c r="H2" s="6"/>
      <c r="I2" s="6"/>
      <c r="J2" s="6"/>
      <c r="K2" s="6"/>
      <c r="L2" s="6"/>
    </row>
    <row r="3" spans="1:12" ht="17.5" customHeight="1">
      <c r="A3" s="8" t="s">
        <v>555</v>
      </c>
      <c r="B3" s="6"/>
      <c r="C3" s="6"/>
      <c r="D3" s="6"/>
      <c r="E3" s="6"/>
      <c r="F3" s="6"/>
      <c r="G3" s="6"/>
      <c r="H3" s="6"/>
      <c r="I3" s="6"/>
      <c r="J3" s="6"/>
      <c r="K3" s="6"/>
      <c r="L3" s="6"/>
    </row>
    <row r="4" spans="1:12" ht="17.5" customHeight="1">
      <c r="A4" s="8" t="s">
        <v>537</v>
      </c>
      <c r="B4" s="6"/>
      <c r="C4" s="6"/>
      <c r="D4" s="6"/>
      <c r="E4" s="6"/>
      <c r="F4" s="6"/>
      <c r="G4" s="6"/>
      <c r="H4" s="6"/>
      <c r="I4" s="6"/>
      <c r="J4" s="6"/>
      <c r="K4" s="6"/>
      <c r="L4" s="6"/>
    </row>
    <row r="5" spans="1:12" ht="17.5" customHeight="1">
      <c r="A5" s="8" t="s">
        <v>478</v>
      </c>
      <c r="B5" s="6"/>
      <c r="C5" s="6"/>
      <c r="D5" s="6"/>
      <c r="E5" s="6"/>
      <c r="F5" s="6"/>
      <c r="G5" s="6"/>
      <c r="H5" s="6"/>
      <c r="I5" s="6"/>
      <c r="J5" s="6"/>
      <c r="K5" s="6"/>
      <c r="L5" s="6"/>
    </row>
    <row r="6" spans="1:12" ht="13.75" customHeight="1">
      <c r="A6" s="6"/>
      <c r="B6" s="6"/>
      <c r="C6" s="6"/>
      <c r="D6" s="6"/>
      <c r="E6" s="6"/>
      <c r="F6" s="6"/>
      <c r="G6" s="6"/>
      <c r="H6" s="6"/>
      <c r="I6" s="6"/>
      <c r="J6" s="6"/>
      <c r="K6" s="6"/>
      <c r="L6" s="6"/>
    </row>
    <row r="7" spans="1:12" ht="17.5" customHeight="1">
      <c r="A7" s="6"/>
      <c r="B7" s="235" t="s">
        <v>538</v>
      </c>
      <c r="C7" s="236"/>
      <c r="D7" s="236"/>
      <c r="E7" s="229" t="s">
        <v>229</v>
      </c>
      <c r="F7" s="230"/>
      <c r="G7" s="230"/>
      <c r="H7" s="230"/>
      <c r="I7" s="230"/>
      <c r="J7" s="230"/>
      <c r="K7" s="229" t="s">
        <v>539</v>
      </c>
      <c r="L7" s="230"/>
    </row>
    <row r="8" spans="1:12" ht="136" customHeight="1">
      <c r="A8" s="8" t="s">
        <v>95</v>
      </c>
      <c r="B8" s="12" t="s">
        <v>556</v>
      </c>
      <c r="C8" s="12" t="s">
        <v>542</v>
      </c>
      <c r="D8" s="12" t="s">
        <v>557</v>
      </c>
      <c r="E8" s="12" t="s">
        <v>556</v>
      </c>
      <c r="F8" s="12" t="s">
        <v>558</v>
      </c>
      <c r="G8" s="12" t="s">
        <v>497</v>
      </c>
      <c r="H8" s="12" t="s">
        <v>547</v>
      </c>
      <c r="I8" s="12" t="s">
        <v>559</v>
      </c>
      <c r="J8" s="12" t="s">
        <v>560</v>
      </c>
      <c r="K8" s="12" t="s">
        <v>550</v>
      </c>
      <c r="L8" s="12" t="s">
        <v>551</v>
      </c>
    </row>
    <row r="9" spans="1:12" ht="17.5" customHeight="1">
      <c r="A9" s="22">
        <v>1799</v>
      </c>
      <c r="B9" s="28">
        <f>'E6 - Ag share of GDP 1793-1859'!D7</f>
        <v>0.22051860784313726</v>
      </c>
      <c r="C9" s="29"/>
      <c r="D9" s="28">
        <f>B9</f>
        <v>0.22051860784313726</v>
      </c>
      <c r="E9" s="28">
        <f>K9-B9</f>
        <v>0.14956082352941175</v>
      </c>
      <c r="F9" s="141">
        <v>0</v>
      </c>
      <c r="G9" s="141"/>
      <c r="H9" s="141">
        <f>'S3 - Davis 2004 IIP'!C18</f>
        <v>6.8889745350806031</v>
      </c>
      <c r="I9" s="141">
        <f>(E9-F9-G9)/H9</f>
        <v>2.1710172213267129E-2</v>
      </c>
      <c r="J9" s="28">
        <f t="shared" ref="J9:J40" si="0">(I9*H9)+F9+G9</f>
        <v>0.14956082352941175</v>
      </c>
      <c r="K9" s="28">
        <f>'E2-Benchmarks, 1793-1829'!E13</f>
        <v>0.37007943137254901</v>
      </c>
      <c r="L9" s="28">
        <f t="shared" ref="L9:L40" si="1">D9+J9</f>
        <v>0.37007943137254901</v>
      </c>
    </row>
    <row r="10" spans="1:12" ht="17.5" customHeight="1">
      <c r="A10" s="22">
        <v>1800</v>
      </c>
      <c r="B10" s="28"/>
      <c r="C10" s="29"/>
      <c r="D10" s="28">
        <f t="shared" ref="D10:D18" si="2">D9*(1+$C$19)</f>
        <v>0.22755442763122902</v>
      </c>
      <c r="E10" s="28"/>
      <c r="F10" s="141">
        <v>0</v>
      </c>
      <c r="G10" s="141"/>
      <c r="H10" s="141">
        <f>'S3 - Davis 2004 IIP'!C19</f>
        <v>7.4698927864069482</v>
      </c>
      <c r="I10" s="141">
        <f>0.9*$I9+0.1*$I19</f>
        <v>2.1902514354041568E-2</v>
      </c>
      <c r="J10" s="28">
        <f t="shared" si="0"/>
        <v>0.16360943397742975</v>
      </c>
      <c r="K10" s="28"/>
      <c r="L10" s="28">
        <f t="shared" si="1"/>
        <v>0.39116386160865879</v>
      </c>
    </row>
    <row r="11" spans="1:12" ht="17.5" customHeight="1">
      <c r="A11" s="22">
        <v>1801</v>
      </c>
      <c r="B11" s="28"/>
      <c r="C11" s="29"/>
      <c r="D11" s="28">
        <f t="shared" si="2"/>
        <v>0.23481473078865944</v>
      </c>
      <c r="E11" s="28"/>
      <c r="F11" s="141">
        <v>0</v>
      </c>
      <c r="G11" s="141"/>
      <c r="H11" s="141">
        <f>'S3 - Davis 2004 IIP'!C20</f>
        <v>7.9390393899979017</v>
      </c>
      <c r="I11" s="141">
        <f>0.8*$I9+0.2*$I19</f>
        <v>2.2094856494816004E-2</v>
      </c>
      <c r="J11" s="28">
        <f t="shared" si="0"/>
        <v>0.17541193602869523</v>
      </c>
      <c r="K11" s="28"/>
      <c r="L11" s="28">
        <f t="shared" si="1"/>
        <v>0.41022666681735465</v>
      </c>
    </row>
    <row r="12" spans="1:12" ht="17.5" customHeight="1">
      <c r="A12" s="22">
        <v>1802</v>
      </c>
      <c r="B12" s="28"/>
      <c r="C12" s="29"/>
      <c r="D12" s="28">
        <f t="shared" si="2"/>
        <v>0.24230667963405345</v>
      </c>
      <c r="E12" s="28"/>
      <c r="F12" s="141">
        <v>0</v>
      </c>
      <c r="G12" s="141"/>
      <c r="H12" s="141">
        <f>'S3 - Davis 2004 IIP'!C21</f>
        <v>8.1132312843786831</v>
      </c>
      <c r="I12" s="141">
        <f>0.7*$I9+0.3*$I19</f>
        <v>2.2287198635590443E-2</v>
      </c>
      <c r="J12" s="28">
        <f t="shared" si="0"/>
        <v>0.18082119721143428</v>
      </c>
      <c r="K12" s="28"/>
      <c r="L12" s="28">
        <f t="shared" si="1"/>
        <v>0.42312787684548769</v>
      </c>
    </row>
    <row r="13" spans="1:12" ht="17.5" customHeight="1">
      <c r="A13" s="22">
        <v>1803</v>
      </c>
      <c r="B13" s="28"/>
      <c r="C13" s="29"/>
      <c r="D13" s="28">
        <f t="shared" si="2"/>
        <v>0.25003766500545027</v>
      </c>
      <c r="E13" s="28"/>
      <c r="F13" s="141">
        <v>0</v>
      </c>
      <c r="G13" s="141"/>
      <c r="H13" s="141">
        <f>'S3 - Davis 2004 IIP'!C22</f>
        <v>8.0190004617084565</v>
      </c>
      <c r="I13" s="141">
        <f>0.6*$I9+0.4*$I19</f>
        <v>2.2479540776364881E-2</v>
      </c>
      <c r="J13" s="28">
        <f t="shared" si="0"/>
        <v>0.18026344786466406</v>
      </c>
      <c r="K13" s="28"/>
      <c r="L13" s="28">
        <f t="shared" si="1"/>
        <v>0.4303011128701143</v>
      </c>
    </row>
    <row r="14" spans="1:12" ht="17.5" customHeight="1">
      <c r="A14" s="22">
        <v>1804</v>
      </c>
      <c r="B14" s="28"/>
      <c r="C14" s="29"/>
      <c r="D14" s="28">
        <f t="shared" si="2"/>
        <v>0.25801531355139518</v>
      </c>
      <c r="E14" s="28"/>
      <c r="F14" s="141">
        <v>0</v>
      </c>
      <c r="G14" s="141"/>
      <c r="H14" s="141">
        <f>'S3 - Davis 2004 IIP'!C23</f>
        <v>8.3360781858511146</v>
      </c>
      <c r="I14" s="141">
        <f>0.5*$I9+0.5*$I19</f>
        <v>2.267188291713932E-2</v>
      </c>
      <c r="J14" s="28">
        <f t="shared" si="0"/>
        <v>0.18899458861773563</v>
      </c>
      <c r="K14" s="28"/>
      <c r="L14" s="28">
        <f t="shared" si="1"/>
        <v>0.44700990216913083</v>
      </c>
    </row>
    <row r="15" spans="1:12" ht="17.5" customHeight="1">
      <c r="A15" s="22">
        <v>1805</v>
      </c>
      <c r="B15" s="28"/>
      <c r="C15" s="29"/>
      <c r="D15" s="28">
        <f t="shared" si="2"/>
        <v>0.26624749525465952</v>
      </c>
      <c r="E15" s="28"/>
      <c r="F15" s="141">
        <v>0</v>
      </c>
      <c r="G15" s="141"/>
      <c r="H15" s="141">
        <f>'S3 - Davis 2004 IIP'!C24</f>
        <v>8.9418377396364086</v>
      </c>
      <c r="I15" s="141">
        <f>0.4*$I9+0.6*$I19</f>
        <v>2.2864225057913756E-2</v>
      </c>
      <c r="J15" s="28">
        <f t="shared" si="0"/>
        <v>0.20444819051039367</v>
      </c>
      <c r="K15" s="28"/>
      <c r="L15" s="28">
        <f t="shared" si="1"/>
        <v>0.47069568576505316</v>
      </c>
    </row>
    <row r="16" spans="1:12" ht="17.5" customHeight="1">
      <c r="A16" s="22">
        <v>1806</v>
      </c>
      <c r="B16" s="28"/>
      <c r="C16" s="29"/>
      <c r="D16" s="28">
        <f t="shared" si="2"/>
        <v>0.27474233119601066</v>
      </c>
      <c r="E16" s="28"/>
      <c r="F16" s="141">
        <v>0</v>
      </c>
      <c r="G16" s="141"/>
      <c r="H16" s="141">
        <f>'S3 - Davis 2004 IIP'!C25</f>
        <v>9.464005151521679</v>
      </c>
      <c r="I16" s="141">
        <f>0.3*$I9+0.7*$I19</f>
        <v>2.3056567198688191E-2</v>
      </c>
      <c r="J16" s="28">
        <f t="shared" si="0"/>
        <v>0.2182074707447908</v>
      </c>
      <c r="K16" s="28"/>
      <c r="L16" s="28">
        <f t="shared" si="1"/>
        <v>0.49294980194080146</v>
      </c>
    </row>
    <row r="17" spans="1:12" ht="17.5" customHeight="1">
      <c r="A17" s="22">
        <v>1807</v>
      </c>
      <c r="B17" s="28"/>
      <c r="C17" s="29"/>
      <c r="D17" s="28">
        <f t="shared" si="2"/>
        <v>0.28350820156569118</v>
      </c>
      <c r="E17" s="28"/>
      <c r="F17" s="141">
        <v>0</v>
      </c>
      <c r="G17" s="141"/>
      <c r="H17" s="141">
        <f>'S3 - Davis 2004 IIP'!C26</f>
        <v>9.0283798887957403</v>
      </c>
      <c r="I17" s="141">
        <f>0.2*$I9+0.8*$I19</f>
        <v>2.3248909339462633E-2</v>
      </c>
      <c r="J17" s="28">
        <f t="shared" si="0"/>
        <v>0.20989998551683989</v>
      </c>
      <c r="K17" s="28"/>
      <c r="L17" s="28">
        <f t="shared" si="1"/>
        <v>0.49340818708253109</v>
      </c>
    </row>
    <row r="18" spans="1:12" ht="17.5" customHeight="1">
      <c r="A18" s="22">
        <v>1808</v>
      </c>
      <c r="B18" s="28"/>
      <c r="C18" s="29"/>
      <c r="D18" s="28">
        <f t="shared" si="2"/>
        <v>0.2925537539305107</v>
      </c>
      <c r="E18" s="28"/>
      <c r="F18" s="141">
        <v>0</v>
      </c>
      <c r="G18" s="141"/>
      <c r="H18" s="141">
        <f>'S3 - Davis 2004 IIP'!C27</f>
        <v>8.6153889710442506</v>
      </c>
      <c r="I18" s="141">
        <f>0.1*$I9+0.9*$I19</f>
        <v>2.3441251480237069E-2</v>
      </c>
      <c r="J18" s="28">
        <f t="shared" si="0"/>
        <v>0.20195549947030916</v>
      </c>
      <c r="K18" s="28"/>
      <c r="L18" s="28">
        <f t="shared" si="1"/>
        <v>0.49450925340081986</v>
      </c>
    </row>
    <row r="19" spans="1:12" ht="17.5" customHeight="1">
      <c r="A19" s="22">
        <v>1809</v>
      </c>
      <c r="B19" s="28">
        <f>'E6 - Ag share of GDP 1793-1859'!D8</f>
        <v>0.30188791176470586</v>
      </c>
      <c r="C19" s="29">
        <f>(B19/B9)^(1/($A20-$A10))-1</f>
        <v>3.1905787257175966E-2</v>
      </c>
      <c r="D19" s="28">
        <f>B19</f>
        <v>0.30188791176470586</v>
      </c>
      <c r="E19" s="28">
        <f>K19-B19</f>
        <v>0.23044967647058823</v>
      </c>
      <c r="F19" s="141">
        <v>0</v>
      </c>
      <c r="G19" s="141"/>
      <c r="H19" s="141">
        <f>'S3 - Davis 2004 IIP'!C28</f>
        <v>9.750936745637631</v>
      </c>
      <c r="I19" s="141">
        <f>(E19-F19-G19)/H19</f>
        <v>2.3633593621011507E-2</v>
      </c>
      <c r="J19" s="28">
        <f t="shared" si="0"/>
        <v>0.23044967647058823</v>
      </c>
      <c r="K19" s="28">
        <f>'E2-Benchmarks, 1793-1829'!E14</f>
        <v>0.53233758823529409</v>
      </c>
      <c r="L19" s="28">
        <f t="shared" si="1"/>
        <v>0.53233758823529409</v>
      </c>
    </row>
    <row r="20" spans="1:12" ht="17.5" customHeight="1">
      <c r="A20" s="22">
        <v>1810</v>
      </c>
      <c r="B20" s="28"/>
      <c r="C20" s="29"/>
      <c r="D20" s="28">
        <f t="shared" ref="D20:D28" si="3">D19*(1+$C$29)</f>
        <v>0.31129239816810034</v>
      </c>
      <c r="E20" s="28"/>
      <c r="F20" s="141">
        <v>0</v>
      </c>
      <c r="G20" s="141"/>
      <c r="H20" s="141">
        <f>'S3 - Davis 2004 IIP'!C29</f>
        <v>10.691608201553858</v>
      </c>
      <c r="I20" s="141">
        <f>0.9*$I19+0.1*$I29</f>
        <v>2.3433336361661221E-2</v>
      </c>
      <c r="J20" s="28">
        <f t="shared" si="0"/>
        <v>0.25054005123410739</v>
      </c>
      <c r="K20" s="28"/>
      <c r="L20" s="28">
        <f t="shared" si="1"/>
        <v>0.56183244940220778</v>
      </c>
    </row>
    <row r="21" spans="1:12" ht="17.5" customHeight="1">
      <c r="A21" s="22">
        <v>1811</v>
      </c>
      <c r="B21" s="28"/>
      <c r="C21" s="29"/>
      <c r="D21" s="28">
        <f t="shared" si="3"/>
        <v>0.32098985544268543</v>
      </c>
      <c r="E21" s="28"/>
      <c r="F21" s="141">
        <f>(('S6-Trescott 1960'!F10)*100000)/('E5 - GDP deflator 1790-1909'!E28)/1000000</f>
        <v>4.3285172749693204E-3</v>
      </c>
      <c r="G21" s="141"/>
      <c r="H21" s="141">
        <f>'S3 - Davis 2004 IIP'!C30</f>
        <v>11.279512815356075</v>
      </c>
      <c r="I21" s="141">
        <f>0.8*$I19+0.2*$I29</f>
        <v>2.3233079102310934E-2</v>
      </c>
      <c r="J21" s="28">
        <f t="shared" si="0"/>
        <v>0.26638633074966689</v>
      </c>
      <c r="K21" s="28"/>
      <c r="L21" s="28">
        <f t="shared" si="1"/>
        <v>0.58737618619235232</v>
      </c>
    </row>
    <row r="22" spans="1:12" ht="17.5" customHeight="1">
      <c r="A22" s="22">
        <v>1812</v>
      </c>
      <c r="B22" s="28"/>
      <c r="C22" s="29"/>
      <c r="D22" s="28">
        <f t="shared" si="3"/>
        <v>0.33098941028902562</v>
      </c>
      <c r="E22" s="28"/>
      <c r="F22" s="141">
        <f>(('S6-Trescott 1960'!F11)*100000)/('E5 - GDP deflator 1790-1909'!E29)/1000000</f>
        <v>1.2865714466884372E-2</v>
      </c>
      <c r="G22" s="141"/>
      <c r="H22" s="141">
        <f>'S3 - Davis 2004 IIP'!C31</f>
        <v>11.590113839625058</v>
      </c>
      <c r="I22" s="141">
        <f>0.7*$I19+0.3*$I29</f>
        <v>2.3032821842960641E-2</v>
      </c>
      <c r="J22" s="28">
        <f t="shared" si="0"/>
        <v>0.27981874167460086</v>
      </c>
      <c r="K22" s="28"/>
      <c r="L22" s="28">
        <f t="shared" si="1"/>
        <v>0.61080815196362648</v>
      </c>
    </row>
    <row r="23" spans="1:12" ht="17.5" customHeight="1">
      <c r="A23" s="22">
        <v>1813</v>
      </c>
      <c r="B23" s="28"/>
      <c r="C23" s="29"/>
      <c r="D23" s="28">
        <f t="shared" si="3"/>
        <v>0.34130047372490385</v>
      </c>
      <c r="E23" s="28"/>
      <c r="F23" s="141">
        <f>(('S6-Trescott 1960'!F12)*100000)/('E5 - GDP deflator 1790-1909'!E30)/1000000</f>
        <v>1.8290051525099466E-2</v>
      </c>
      <c r="G23" s="141"/>
      <c r="H23" s="141">
        <f>'S3 - Davis 2004 IIP'!C32</f>
        <v>12.525030436078701</v>
      </c>
      <c r="I23" s="141">
        <f>0.6*$I19+0.4*$I29</f>
        <v>2.2832564583610354E-2</v>
      </c>
      <c r="J23" s="28">
        <f t="shared" si="0"/>
        <v>0.30426861786855175</v>
      </c>
      <c r="K23" s="28"/>
      <c r="L23" s="28">
        <f t="shared" si="1"/>
        <v>0.64556909159345555</v>
      </c>
    </row>
    <row r="24" spans="1:12" ht="17.5" customHeight="1">
      <c r="A24" s="22">
        <v>1814</v>
      </c>
      <c r="B24" s="28"/>
      <c r="C24" s="29"/>
      <c r="D24" s="28">
        <f t="shared" si="3"/>
        <v>0.35193274994244139</v>
      </c>
      <c r="E24" s="28"/>
      <c r="F24" s="141">
        <f>(('S6-Trescott 1960'!F13)*100000)/('E5 - GDP deflator 1790-1909'!E31)/1000000</f>
        <v>1.8644406042315941E-2</v>
      </c>
      <c r="G24" s="141"/>
      <c r="H24" s="141">
        <f>'S3 - Davis 2004 IIP'!C33</f>
        <v>13.34386387424426</v>
      </c>
      <c r="I24" s="141">
        <f>0.5*$I19+0.5*$I29</f>
        <v>2.2632307324260068E-2</v>
      </c>
      <c r="J24" s="28">
        <f t="shared" si="0"/>
        <v>0.3206468341373036</v>
      </c>
      <c r="K24" s="28"/>
      <c r="L24" s="28">
        <f t="shared" si="1"/>
        <v>0.67257958407974505</v>
      </c>
    </row>
    <row r="25" spans="1:12" ht="17.5" customHeight="1">
      <c r="A25" s="22">
        <v>1815</v>
      </c>
      <c r="B25" s="28"/>
      <c r="C25" s="29"/>
      <c r="D25" s="28">
        <f t="shared" si="3"/>
        <v>0.3628962454411368</v>
      </c>
      <c r="E25" s="28"/>
      <c r="F25" s="141">
        <f>(('S6-Trescott 1960'!F14)*100000)/('E5 - GDP deflator 1790-1909'!E32)/1000000</f>
        <v>1.9614692861095736E-2</v>
      </c>
      <c r="G25" s="141"/>
      <c r="H25" s="141">
        <f>'S3 - Davis 2004 IIP'!C34</f>
        <v>13.172079625946935</v>
      </c>
      <c r="I25" s="141">
        <f>0.4*$I19+0.6*$I29</f>
        <v>2.2432050064909777E-2</v>
      </c>
      <c r="J25" s="28">
        <f t="shared" si="0"/>
        <v>0.31509144248931542</v>
      </c>
      <c r="K25" s="28"/>
      <c r="L25" s="28">
        <f t="shared" si="1"/>
        <v>0.67798768793045228</v>
      </c>
    </row>
    <row r="26" spans="1:12" ht="17.5" customHeight="1">
      <c r="A26" s="22">
        <v>1816</v>
      </c>
      <c r="B26" s="28"/>
      <c r="C26" s="29"/>
      <c r="D26" s="28">
        <f t="shared" si="3"/>
        <v>0.37420127844541978</v>
      </c>
      <c r="E26" s="28"/>
      <c r="F26" s="141">
        <f>(('S6-Trescott 1960'!F15)*100000)/('E5 - GDP deflator 1790-1909'!E33)/1000000</f>
        <v>1.8884102477803179E-2</v>
      </c>
      <c r="G26" s="141"/>
      <c r="H26" s="141">
        <f>'S3 - Davis 2004 IIP'!C35</f>
        <v>12.813309543483502</v>
      </c>
      <c r="I26" s="141">
        <f>0.3*$I19+0.7*$I29</f>
        <v>2.2231792805559487E-2</v>
      </c>
      <c r="J26" s="28">
        <f t="shared" si="0"/>
        <v>0.30374694540202646</v>
      </c>
      <c r="K26" s="28"/>
      <c r="L26" s="28">
        <f t="shared" si="1"/>
        <v>0.67794822384744624</v>
      </c>
    </row>
    <row r="27" spans="1:12" ht="17.5" customHeight="1">
      <c r="A27" s="22">
        <v>1817</v>
      </c>
      <c r="B27" s="28"/>
      <c r="C27" s="29"/>
      <c r="D27" s="28">
        <f t="shared" si="3"/>
        <v>0.3858584886155827</v>
      </c>
      <c r="E27" s="28"/>
      <c r="F27" s="141">
        <f>(('S6-Trescott 1960'!F16)*100000)/('E5 - GDP deflator 1790-1909'!E34)/1000000</f>
        <v>1.2208188099855175E-2</v>
      </c>
      <c r="G27" s="141"/>
      <c r="H27" s="141">
        <f>'S3 - Davis 2004 IIP'!C36</f>
        <v>13.418540055020518</v>
      </c>
      <c r="I27" s="141">
        <f>0.2*$I19+0.8*$I29</f>
        <v>2.2031535546209201E-2</v>
      </c>
      <c r="J27" s="28">
        <f t="shared" si="0"/>
        <v>0.30783923030027172</v>
      </c>
      <c r="K27" s="28"/>
      <c r="L27" s="28">
        <f t="shared" si="1"/>
        <v>0.69369771891585441</v>
      </c>
    </row>
    <row r="28" spans="1:12" ht="17.5" customHeight="1">
      <c r="A28" s="22">
        <v>1818</v>
      </c>
      <c r="B28" s="28"/>
      <c r="C28" s="29"/>
      <c r="D28" s="28">
        <f t="shared" si="3"/>
        <v>0.39787884706122956</v>
      </c>
      <c r="E28" s="28"/>
      <c r="F28" s="141">
        <f>(('S6-Trescott 1960'!F17)*100000)/('E5 - GDP deflator 1790-1909'!E35)/1000000</f>
        <v>1.3684657619341413E-2</v>
      </c>
      <c r="G28" s="141"/>
      <c r="H28" s="141">
        <f>'S3 - Davis 2004 IIP'!C37</f>
        <v>14.077353262819777</v>
      </c>
      <c r="I28" s="141">
        <f>0.1*$I19+0.9*$I29</f>
        <v>2.1831278286858911E-2</v>
      </c>
      <c r="J28" s="28">
        <f t="shared" si="0"/>
        <v>0.32101127424238124</v>
      </c>
      <c r="K28" s="28"/>
      <c r="L28" s="28">
        <f t="shared" si="1"/>
        <v>0.71889012130361074</v>
      </c>
    </row>
    <row r="29" spans="1:12" ht="17.5" customHeight="1">
      <c r="A29" s="22">
        <v>1819</v>
      </c>
      <c r="B29" s="28">
        <f>'E6 - Ag share of GDP 1793-1859'!D9</f>
        <v>0.4102736666666667</v>
      </c>
      <c r="C29" s="29">
        <f>(B29/B19)^(1/($A30-$A20))-1</f>
        <v>3.1152245707421367E-2</v>
      </c>
      <c r="D29" s="28">
        <f>B29</f>
        <v>0.4102736666666667</v>
      </c>
      <c r="E29" s="28">
        <f>K29-B29</f>
        <v>0.32253156862745097</v>
      </c>
      <c r="F29" s="141">
        <f>(('S6-Trescott 1960'!F18)*100000)/('E5 - GDP deflator 1790-1909'!E36)/1000000</f>
        <v>1.3545592994479346E-2</v>
      </c>
      <c r="G29" s="141">
        <f>'S8-NFI 1820-1860'!F10</f>
        <v>-6.5684210526315802E-3</v>
      </c>
      <c r="H29" s="141">
        <f>'S3 - Davis 2004 IIP'!C38</f>
        <v>14.588049093212291</v>
      </c>
      <c r="I29" s="141">
        <f>(E29-F29-G29)/H29</f>
        <v>2.1631021027508624E-2</v>
      </c>
      <c r="J29" s="28">
        <f t="shared" si="0"/>
        <v>0.32253156862745097</v>
      </c>
      <c r="K29" s="28">
        <f>'E2-Benchmarks, 1793-1829'!E15</f>
        <v>0.73280523529411767</v>
      </c>
      <c r="L29" s="28">
        <f t="shared" si="1"/>
        <v>0.73280523529411767</v>
      </c>
    </row>
    <row r="30" spans="1:12" ht="17.5" customHeight="1">
      <c r="A30" s="22">
        <v>1820</v>
      </c>
      <c r="B30" s="28"/>
      <c r="C30" s="29"/>
      <c r="D30" s="28">
        <f t="shared" ref="D30:D38" si="4">D29*(1+$C$39)</f>
        <v>0.42506369285030732</v>
      </c>
      <c r="E30" s="28"/>
      <c r="F30" s="141">
        <f>(('S6-Trescott 1960'!F19)*100000)/('E5 - GDP deflator 1790-1909'!E37)/1000000</f>
        <v>1.3226612010527388E-2</v>
      </c>
      <c r="G30" s="141">
        <f>'S8-NFI 1820-1860'!F10</f>
        <v>-6.5684210526315802E-3</v>
      </c>
      <c r="H30" s="141">
        <f>'S3 - Davis 2004 IIP'!C39</f>
        <v>15.233255936622943</v>
      </c>
      <c r="I30" s="141">
        <f>0.9*$I29+0.1*$I39</f>
        <v>2.1687672611577821E-2</v>
      </c>
      <c r="J30" s="28">
        <f t="shared" si="0"/>
        <v>0.33703205851974849</v>
      </c>
      <c r="K30" s="28"/>
      <c r="L30" s="28">
        <f t="shared" si="1"/>
        <v>0.76209575137005581</v>
      </c>
    </row>
    <row r="31" spans="1:12" ht="17.5" customHeight="1">
      <c r="A31" s="22">
        <v>1821</v>
      </c>
      <c r="B31" s="28"/>
      <c r="C31" s="29"/>
      <c r="D31" s="28">
        <f t="shared" si="4"/>
        <v>0.44038688723918518</v>
      </c>
      <c r="E31" s="28"/>
      <c r="F31" s="141">
        <f>(('S6-Trescott 1960'!F20)*100000)/('E5 - GDP deflator 1790-1909'!E38)/1000000</f>
        <v>1.1030516289033889E-2</v>
      </c>
      <c r="G31" s="141">
        <f>'S8-NFI 1820-1860'!F11</f>
        <v>-6.5684210526315802E-3</v>
      </c>
      <c r="H31" s="141">
        <f>'S3 - Davis 2004 IIP'!C40</f>
        <v>16.416771519246943</v>
      </c>
      <c r="I31" s="141">
        <f>0.8*$I29+0.2*$I39</f>
        <v>2.1744324195647018E-2</v>
      </c>
      <c r="J31" s="28">
        <f t="shared" si="0"/>
        <v>0.3614336973967725</v>
      </c>
      <c r="K31" s="28"/>
      <c r="L31" s="28">
        <f t="shared" si="1"/>
        <v>0.80182058463595762</v>
      </c>
    </row>
    <row r="32" spans="1:12" ht="17.5" customHeight="1">
      <c r="A32" s="22">
        <v>1822</v>
      </c>
      <c r="B32" s="28"/>
      <c r="C32" s="29"/>
      <c r="D32" s="28">
        <f t="shared" si="4"/>
        <v>0.4562624701059047</v>
      </c>
      <c r="E32" s="28"/>
      <c r="F32" s="141">
        <f>(('S6-Trescott 1960'!F21)*100000)/('E5 - GDP deflator 1790-1909'!E39)/1000000</f>
        <v>8.9823901839909074E-3</v>
      </c>
      <c r="G32" s="141">
        <f>'S8-NFI 1820-1860'!F12</f>
        <v>-5.7352941176470581E-3</v>
      </c>
      <c r="H32" s="141">
        <f>'S3 - Davis 2004 IIP'!C41</f>
        <v>17.2037893684262</v>
      </c>
      <c r="I32" s="141">
        <f>0.7*$I29+0.3*$I39</f>
        <v>2.1800975779716212E-2</v>
      </c>
      <c r="J32" s="28">
        <f t="shared" si="0"/>
        <v>0.37830649140674266</v>
      </c>
      <c r="K32" s="28"/>
      <c r="L32" s="28">
        <f t="shared" si="1"/>
        <v>0.83456896151264737</v>
      </c>
    </row>
    <row r="33" spans="1:12" ht="17.5" customHeight="1">
      <c r="A33" s="22">
        <v>1823</v>
      </c>
      <c r="B33" s="28"/>
      <c r="C33" s="29"/>
      <c r="D33" s="28">
        <f t="shared" si="4"/>
        <v>0.47271035459799299</v>
      </c>
      <c r="E33" s="28"/>
      <c r="F33" s="141">
        <f>(('S6-Trescott 1960'!F22)*100000)/('E5 - GDP deflator 1790-1909'!E40)/1000000</f>
        <v>9.6415009332560999E-3</v>
      </c>
      <c r="G33" s="141">
        <f>'S8-NFI 1820-1860'!F13</f>
        <v>-7.2222222222222219E-3</v>
      </c>
      <c r="H33" s="141">
        <f>'S3 - Davis 2004 IIP'!C42</f>
        <v>17.696813582024575</v>
      </c>
      <c r="I33" s="141">
        <f>0.6*$I29+0.4*$I39</f>
        <v>2.1857627363785409E-2</v>
      </c>
      <c r="J33" s="28">
        <f t="shared" si="0"/>
        <v>0.38922963551330347</v>
      </c>
      <c r="K33" s="28"/>
      <c r="L33" s="28">
        <f t="shared" si="1"/>
        <v>0.86193999011129652</v>
      </c>
    </row>
    <row r="34" spans="1:12" ht="17.5" customHeight="1">
      <c r="A34" s="22">
        <v>1824</v>
      </c>
      <c r="B34" s="28"/>
      <c r="C34" s="29"/>
      <c r="D34" s="28">
        <f t="shared" si="4"/>
        <v>0.48975117171546745</v>
      </c>
      <c r="E34" s="28"/>
      <c r="F34" s="141">
        <f>(('S6-Trescott 1960'!F23)*100000)/('E5 - GDP deflator 1790-1909'!E41)/1000000</f>
        <v>1.1022600609913964E-2</v>
      </c>
      <c r="G34" s="141">
        <f>'S8-NFI 1820-1860'!F14</f>
        <v>-5.9428571428571421E-3</v>
      </c>
      <c r="H34" s="141">
        <f>'S3 - Davis 2004 IIP'!C43</f>
        <v>19.111965989642425</v>
      </c>
      <c r="I34" s="141">
        <f>0.5*$I29+0.5*$I39</f>
        <v>2.191427894785461E-2</v>
      </c>
      <c r="J34" s="28">
        <f t="shared" si="0"/>
        <v>0.42390469740599107</v>
      </c>
      <c r="K34" s="28"/>
      <c r="L34" s="28">
        <f t="shared" si="1"/>
        <v>0.91365586912145846</v>
      </c>
    </row>
    <row r="35" spans="1:12" ht="17.5" customHeight="1">
      <c r="A35" s="22">
        <v>1825</v>
      </c>
      <c r="B35" s="28"/>
      <c r="C35" s="29"/>
      <c r="D35" s="28">
        <f t="shared" si="4"/>
        <v>0.50740629618882405</v>
      </c>
      <c r="E35" s="28"/>
      <c r="F35" s="141">
        <f>(('S6-Trescott 1960'!F24)*100000)/('E5 - GDP deflator 1790-1909'!E42)/1000000</f>
        <v>1.1262190564772397E-2</v>
      </c>
      <c r="G35" s="141">
        <f>'S8-NFI 1820-1860'!F15</f>
        <v>-5.1999999999999998E-3</v>
      </c>
      <c r="H35" s="141">
        <f>'S3 - Davis 2004 IIP'!C44</f>
        <v>20.156450315706927</v>
      </c>
      <c r="I35" s="141">
        <f>0.4*$I29+0.6*$I39</f>
        <v>2.1970930531923803E-2</v>
      </c>
      <c r="J35" s="28">
        <f t="shared" si="0"/>
        <v>0.4489181602213429</v>
      </c>
      <c r="K35" s="28"/>
      <c r="L35" s="28">
        <f t="shared" si="1"/>
        <v>0.95632445641016695</v>
      </c>
    </row>
    <row r="36" spans="1:12" ht="17.5" customHeight="1">
      <c r="A36" s="22">
        <v>1826</v>
      </c>
      <c r="B36" s="28"/>
      <c r="C36" s="29"/>
      <c r="D36" s="28">
        <f t="shared" si="4"/>
        <v>0.52569787328990569</v>
      </c>
      <c r="E36" s="28"/>
      <c r="F36" s="141">
        <f>(('S6-Trescott 1960'!F25)*100000)/('E5 - GDP deflator 1790-1909'!E43)/1000000</f>
        <v>1.2799836189685878E-2</v>
      </c>
      <c r="G36" s="141">
        <f>'S8-NFI 1820-1860'!F16</f>
        <v>-6.2234042553191496E-3</v>
      </c>
      <c r="H36" s="141">
        <f>'S3 - Davis 2004 IIP'!C45</f>
        <v>20.758751080185291</v>
      </c>
      <c r="I36" s="141">
        <f>0.3*$I29+0.7*$I39</f>
        <v>2.2027582115993E-2</v>
      </c>
      <c r="J36" s="28">
        <f t="shared" si="0"/>
        <v>0.46384152597860667</v>
      </c>
      <c r="K36" s="28"/>
      <c r="L36" s="28">
        <f t="shared" si="1"/>
        <v>0.98953939926851242</v>
      </c>
    </row>
    <row r="37" spans="1:12" ht="17.5" customHeight="1">
      <c r="A37" s="22">
        <v>1827</v>
      </c>
      <c r="B37" s="28"/>
      <c r="C37" s="29"/>
      <c r="D37" s="28">
        <f t="shared" si="4"/>
        <v>0.54464884660928004</v>
      </c>
      <c r="E37" s="28"/>
      <c r="F37" s="141">
        <f>(('S6-Trescott 1960'!F26)*100000)/('E5 - GDP deflator 1790-1909'!E44)/1000000</f>
        <v>1.2705205956526959E-2</v>
      </c>
      <c r="G37" s="141">
        <f>'S8-NFI 1820-1860'!F17</f>
        <v>-6.4999999999999988E-3</v>
      </c>
      <c r="H37" s="141">
        <f>'S3 - Davis 2004 IIP'!C46</f>
        <v>21.205121634814859</v>
      </c>
      <c r="I37" s="141">
        <f>0.2*$I29+0.8*$I39</f>
        <v>2.2084233700062197E-2</v>
      </c>
      <c r="J37" s="28">
        <f t="shared" si="0"/>
        <v>0.47450406777802323</v>
      </c>
      <c r="K37" s="28"/>
      <c r="L37" s="28">
        <f t="shared" si="1"/>
        <v>1.0191529143873033</v>
      </c>
    </row>
    <row r="38" spans="1:12" ht="17.5" customHeight="1">
      <c r="A38" s="22">
        <v>1828</v>
      </c>
      <c r="B38" s="28"/>
      <c r="C38" s="29"/>
      <c r="D38" s="28">
        <f t="shared" si="4"/>
        <v>0.56428298683496902</v>
      </c>
      <c r="E38" s="28"/>
      <c r="F38" s="141">
        <f>(('S6-Trescott 1960'!F27)*100000)/('E5 - GDP deflator 1790-1909'!E45)/1000000</f>
        <v>1.3502552980860606E-2</v>
      </c>
      <c r="G38" s="141">
        <f>'S8-NFI 1820-1860'!F18</f>
        <v>-5.7142857142857143E-3</v>
      </c>
      <c r="H38" s="141">
        <f>'S3 - Davis 2004 IIP'!C47</f>
        <v>20.860217620825694</v>
      </c>
      <c r="I38" s="141">
        <f>0.1*$I29+0.9*$I39</f>
        <v>2.2140885284131398E-2</v>
      </c>
      <c r="J38" s="28">
        <f t="shared" si="0"/>
        <v>0.46965195261129294</v>
      </c>
      <c r="K38" s="28"/>
      <c r="L38" s="28">
        <f t="shared" si="1"/>
        <v>1.033934939446262</v>
      </c>
    </row>
    <row r="39" spans="1:12" ht="17.5" customHeight="1">
      <c r="A39" s="22">
        <v>1829</v>
      </c>
      <c r="B39" s="28">
        <f>'E6 - Ag share of GDP 1793-1859'!D10</f>
        <v>0.58462492156862744</v>
      </c>
      <c r="C39" s="29">
        <f>(B39/B29)^(1/($A40-$A30))-1</f>
        <v>3.6049172504305504E-2</v>
      </c>
      <c r="D39" s="28">
        <f>B39</f>
        <v>0.58462492156862744</v>
      </c>
      <c r="E39" s="28">
        <f>K39-B39</f>
        <v>0.48845919607843147</v>
      </c>
      <c r="F39" s="141">
        <f>(('S6-Trescott 1960'!F28)*100000)/('E5 - GDP deflator 1790-1909'!E46)/1000000</f>
        <v>1.3753812636165577E-2</v>
      </c>
      <c r="G39" s="141">
        <f>'S8-NFI 1820-1860'!F19</f>
        <v>-5.92079207920792E-3</v>
      </c>
      <c r="H39" s="141">
        <f>'S3 - Davis 2004 IIP'!C48</f>
        <v>21.652230081888135</v>
      </c>
      <c r="I39" s="141">
        <f>(E39-F39-G39)/H39</f>
        <v>2.2197536868200592E-2</v>
      </c>
      <c r="J39" s="28">
        <f t="shared" si="0"/>
        <v>0.48845919607843147</v>
      </c>
      <c r="K39" s="28">
        <f>'E2-Benchmarks, 1793-1829'!E16</f>
        <v>1.0730841176470589</v>
      </c>
      <c r="L39" s="28">
        <f t="shared" si="1"/>
        <v>1.0730841176470589</v>
      </c>
    </row>
    <row r="40" spans="1:12" ht="17.5" customHeight="1">
      <c r="A40" s="22">
        <v>1830</v>
      </c>
      <c r="B40" s="28"/>
      <c r="C40" s="29"/>
      <c r="D40" s="28">
        <f t="shared" ref="D40:D48" si="5">D39*(1+$C$49)</f>
        <v>0.60746747426857806</v>
      </c>
      <c r="E40" s="28"/>
      <c r="F40" s="141">
        <f>(('S6-Trescott 1960'!F29)*100000)/('E5 - GDP deflator 1790-1909'!E47)/1000000</f>
        <v>1.3433149964659928E-2</v>
      </c>
      <c r="G40" s="141">
        <f>'S8-NFI 1820-1860'!F20</f>
        <v>-5.9799999999999983E-3</v>
      </c>
      <c r="H40" s="141">
        <f>'S3 - Davis 2004 IIP'!C49</f>
        <v>25.585923791101791</v>
      </c>
      <c r="I40" s="141">
        <f>0.9*$I39+0.1*$I49</f>
        <v>2.1735743833418395E-2</v>
      </c>
      <c r="J40" s="28">
        <f t="shared" si="0"/>
        <v>0.56358223522941375</v>
      </c>
      <c r="K40" s="28"/>
      <c r="L40" s="28">
        <f t="shared" si="1"/>
        <v>1.1710497094979919</v>
      </c>
    </row>
    <row r="41" spans="1:12" ht="17.5" customHeight="1">
      <c r="A41" s="22">
        <v>1831</v>
      </c>
      <c r="B41" s="28"/>
      <c r="C41" s="29"/>
      <c r="D41" s="28">
        <f t="shared" si="5"/>
        <v>0.63120253461676579</v>
      </c>
      <c r="E41" s="28"/>
      <c r="F41" s="141">
        <f>(('S6-Trescott 1960'!F30)*100000)/('E5 - GDP deflator 1790-1909'!E48)/1000000</f>
        <v>1.5216176796783503E-2</v>
      </c>
      <c r="G41" s="141">
        <f>'S8-NFI 1820-1860'!F21</f>
        <v>-5.1747572815533981E-3</v>
      </c>
      <c r="H41" s="141">
        <f>'S3 - Davis 2004 IIP'!C50</f>
        <v>29.521559065897208</v>
      </c>
      <c r="I41" s="141">
        <f>0.8*$I39+0.2*$I49</f>
        <v>2.1273950798636199E-2</v>
      </c>
      <c r="J41" s="28">
        <f t="shared" ref="J41:J72" si="6">(I41*H41)+F41+G41</f>
        <v>0.63808161458215984</v>
      </c>
      <c r="K41" s="28"/>
      <c r="L41" s="28">
        <f t="shared" ref="L41:L72" si="7">D41+J41</f>
        <v>1.2692841491989255</v>
      </c>
    </row>
    <row r="42" spans="1:12" ht="17.5" customHeight="1">
      <c r="A42" s="22">
        <v>1832</v>
      </c>
      <c r="B42" s="28"/>
      <c r="C42" s="29"/>
      <c r="D42" s="28">
        <f t="shared" si="5"/>
        <v>0.65586497480600658</v>
      </c>
      <c r="E42" s="28"/>
      <c r="F42" s="141">
        <f>(('S6-Trescott 1960'!F31)*100000)/('E5 - GDP deflator 1790-1909'!E49)/1000000</f>
        <v>1.7193537010035849E-2</v>
      </c>
      <c r="G42" s="141">
        <f>'S8-NFI 1820-1860'!F22</f>
        <v>-5.6874999999999998E-3</v>
      </c>
      <c r="H42" s="141">
        <f>'S3 - Davis 2004 IIP'!C51</f>
        <v>33.039168876204982</v>
      </c>
      <c r="I42" s="141">
        <f>0.7*$I39+0.3*$I49</f>
        <v>2.0812157763853999E-2</v>
      </c>
      <c r="J42" s="28">
        <f t="shared" si="6"/>
        <v>0.69912243204822888</v>
      </c>
      <c r="K42" s="28"/>
      <c r="L42" s="28">
        <f t="shared" si="7"/>
        <v>1.3549874068542356</v>
      </c>
    </row>
    <row r="43" spans="1:12" ht="17.5" customHeight="1">
      <c r="A43" s="22">
        <v>1833</v>
      </c>
      <c r="B43" s="28"/>
      <c r="C43" s="29"/>
      <c r="D43" s="28">
        <f t="shared" si="5"/>
        <v>0.6814910295606692</v>
      </c>
      <c r="E43" s="28"/>
      <c r="F43" s="141">
        <f>(('S6-Trescott 1960'!F32)*100000)/('E5 - GDP deflator 1790-1909'!E50)/1000000</f>
        <v>1.946678522000778E-2</v>
      </c>
      <c r="G43" s="141">
        <f>'S8-NFI 1820-1860'!F23</f>
        <v>-5.9913043478260868E-3</v>
      </c>
      <c r="H43" s="141">
        <f>'S3 - Davis 2004 IIP'!C52</f>
        <v>34.494366223767294</v>
      </c>
      <c r="I43" s="141">
        <f>0.6*$I39+0.4*$I49</f>
        <v>2.0350364729071802E-2</v>
      </c>
      <c r="J43" s="28">
        <f t="shared" si="6"/>
        <v>0.71544841462402131</v>
      </c>
      <c r="K43" s="28"/>
      <c r="L43" s="28">
        <f t="shared" si="7"/>
        <v>1.3969394441846905</v>
      </c>
    </row>
    <row r="44" spans="1:12" ht="17.5" customHeight="1">
      <c r="A44" s="22">
        <v>1834</v>
      </c>
      <c r="B44" s="28"/>
      <c r="C44" s="29"/>
      <c r="D44" s="28">
        <f t="shared" si="5"/>
        <v>0.70811834937371243</v>
      </c>
      <c r="E44" s="28"/>
      <c r="F44" s="141">
        <f>(('S6-Trescott 1960'!F33)*100000)/('E5 - GDP deflator 1790-1909'!E51)/1000000</f>
        <v>1.7401837898509624E-2</v>
      </c>
      <c r="G44" s="141">
        <f>'S8-NFI 1820-1860'!F24</f>
        <v>-6.3414634146341468E-3</v>
      </c>
      <c r="H44" s="141">
        <f>'S3 - Davis 2004 IIP'!C53</f>
        <v>35.243155682300902</v>
      </c>
      <c r="I44" s="141">
        <f>0.5*$I39+0.5*$I49</f>
        <v>1.9888571694289606E-2</v>
      </c>
      <c r="J44" s="28">
        <f t="shared" si="6"/>
        <v>0.71199640300432698</v>
      </c>
      <c r="K44" s="28"/>
      <c r="L44" s="28">
        <f t="shared" si="7"/>
        <v>1.4201147523780393</v>
      </c>
    </row>
    <row r="45" spans="1:12" ht="17.5" customHeight="1">
      <c r="A45" s="22">
        <v>1835</v>
      </c>
      <c r="B45" s="28"/>
      <c r="C45" s="29"/>
      <c r="D45" s="28">
        <f t="shared" si="5"/>
        <v>0.73578605582380818</v>
      </c>
      <c r="E45" s="28"/>
      <c r="F45" s="141">
        <f>(('S6-Trescott 1960'!F34)*100000)/('E5 - GDP deflator 1790-1909'!E52)/1000000</f>
        <v>1.6443089245959351E-2</v>
      </c>
      <c r="G45" s="141">
        <f>'S8-NFI 1820-1860'!F25</f>
        <v>-6.1486486486486492E-3</v>
      </c>
      <c r="H45" s="141">
        <f>'S3 - Davis 2004 IIP'!C54</f>
        <v>38.687846160845893</v>
      </c>
      <c r="I45" s="141">
        <f>0.4*$I39+0.6*$I49</f>
        <v>1.9426778659507406E-2</v>
      </c>
      <c r="J45" s="28">
        <f t="shared" si="6"/>
        <v>0.76187466477713728</v>
      </c>
      <c r="K45" s="28"/>
      <c r="L45" s="28">
        <f t="shared" si="7"/>
        <v>1.4976607206009453</v>
      </c>
    </row>
    <row r="46" spans="1:12" ht="17.5" customHeight="1">
      <c r="A46" s="22">
        <v>1836</v>
      </c>
      <c r="B46" s="28"/>
      <c r="C46" s="29"/>
      <c r="D46" s="28">
        <f t="shared" si="5"/>
        <v>0.76453479905382316</v>
      </c>
      <c r="E46" s="28"/>
      <c r="F46" s="141">
        <f>(('S6-Trescott 1960'!F35)*100000)/('E5 - GDP deflator 1790-1909'!E53)/1000000</f>
        <v>2.5327333229886215E-2</v>
      </c>
      <c r="G46" s="141">
        <f>'S8-NFI 1820-1860'!F26</f>
        <v>-7.9647887323943661E-3</v>
      </c>
      <c r="H46" s="141">
        <f>'S3 - Davis 2004 IIP'!C55</f>
        <v>40.011680230495045</v>
      </c>
      <c r="I46" s="141">
        <f>0.3*$I39+0.7*$I49</f>
        <v>1.8964985624725209E-2</v>
      </c>
      <c r="J46" s="28">
        <f t="shared" si="6"/>
        <v>0.77618348488993227</v>
      </c>
      <c r="K46" s="28"/>
      <c r="L46" s="28">
        <f t="shared" si="7"/>
        <v>1.5407182839437554</v>
      </c>
    </row>
    <row r="47" spans="1:12" ht="17.5" customHeight="1">
      <c r="A47" s="22">
        <v>1837</v>
      </c>
      <c r="B47" s="28"/>
      <c r="C47" s="29"/>
      <c r="D47" s="28">
        <f t="shared" si="5"/>
        <v>0.79440681749510855</v>
      </c>
      <c r="E47" s="28"/>
      <c r="F47" s="141">
        <f>(('S6-Trescott 1960'!F36)*100000)/('E5 - GDP deflator 1790-1909'!E54)/1000000</f>
        <v>2.8160255562587021E-2</v>
      </c>
      <c r="G47" s="141">
        <f>'S8-NFI 1820-1860'!F27</f>
        <v>-8.3503649635036491E-3</v>
      </c>
      <c r="H47" s="141">
        <f>'S3 - Davis 2004 IIP'!C56</f>
        <v>40.102987440440977</v>
      </c>
      <c r="I47" s="141">
        <f>0.2*$I39+0.8*$I49</f>
        <v>1.8503192589943013E-2</v>
      </c>
      <c r="J47" s="28">
        <f t="shared" si="6"/>
        <v>0.76184319064162864</v>
      </c>
      <c r="K47" s="28"/>
      <c r="L47" s="28">
        <f t="shared" si="7"/>
        <v>1.5562500081367372</v>
      </c>
    </row>
    <row r="48" spans="1:12" ht="17.5" customHeight="1">
      <c r="A48" s="22">
        <v>1838</v>
      </c>
      <c r="B48" s="28"/>
      <c r="C48" s="29"/>
      <c r="D48" s="28">
        <f t="shared" si="5"/>
        <v>0.82544599992534629</v>
      </c>
      <c r="E48" s="28"/>
      <c r="F48" s="141">
        <f>(('S6-Trescott 1960'!F37)*100000)/('E5 - GDP deflator 1790-1909'!E55)/1000000</f>
        <v>3.0359306222978891E-2</v>
      </c>
      <c r="G48" s="141">
        <f>'S8-NFI 1820-1860'!F28</f>
        <v>-9.8515624999999975E-3</v>
      </c>
      <c r="H48" s="141">
        <f>'S3 - Davis 2004 IIP'!C57</f>
        <v>42.929570642358996</v>
      </c>
      <c r="I48" s="141">
        <f>0.1*$I39+0.9*$I49</f>
        <v>1.8041399555160816E-2</v>
      </c>
      <c r="J48" s="28">
        <f t="shared" si="6"/>
        <v>0.79501728041327935</v>
      </c>
      <c r="K48" s="28"/>
      <c r="L48" s="28">
        <f t="shared" si="7"/>
        <v>1.6204632803386256</v>
      </c>
    </row>
    <row r="49" spans="1:12" ht="17.5" customHeight="1">
      <c r="A49" s="22">
        <v>1839</v>
      </c>
      <c r="B49" s="28">
        <f>'E6 - Ag share of GDP 1793-1859'!D11</f>
        <v>0.85769794995112814</v>
      </c>
      <c r="C49" s="29">
        <f>(B49/B39)^(1/($A50-$A40))-1</f>
        <v>3.9072150120903038E-2</v>
      </c>
      <c r="D49" s="28">
        <f>B49</f>
        <v>0.85769794995112814</v>
      </c>
      <c r="E49" s="28">
        <f>K49-B49</f>
        <v>0.80696693908924599</v>
      </c>
      <c r="F49" s="141">
        <f>(('S6-Trescott 1960'!F38)*100000)/('E5 - GDP deflator 1790-1909'!E56)/1000000</f>
        <v>2.4302825101210217E-2</v>
      </c>
      <c r="G49" s="141">
        <f>'S8-NFI 1820-1860'!F29</f>
        <v>-1.1049999999999999E-2</v>
      </c>
      <c r="H49" s="141">
        <f>'S3 - Davis 2004 IIP'!C58</f>
        <v>45.14970873028058</v>
      </c>
      <c r="I49" s="141">
        <f>(E49-F49-G49)/H49</f>
        <v>1.7579606520378616E-2</v>
      </c>
      <c r="J49" s="28">
        <f t="shared" si="6"/>
        <v>0.80696693908924599</v>
      </c>
      <c r="K49" s="28">
        <f>'E3-Benchmarks, 1839-1859'!M13</f>
        <v>1.6646648890403741</v>
      </c>
      <c r="L49" s="28">
        <f t="shared" si="7"/>
        <v>1.6646648890403741</v>
      </c>
    </row>
    <row r="50" spans="1:12" ht="17.5" customHeight="1">
      <c r="A50" s="22">
        <v>1840</v>
      </c>
      <c r="B50" s="28"/>
      <c r="C50" s="29"/>
      <c r="D50" s="28">
        <f t="shared" ref="D50:D58" si="8">D49*(1+$C$59)</f>
        <v>0.87886671040591857</v>
      </c>
      <c r="E50" s="28"/>
      <c r="F50" s="141">
        <f>(('S6-Trescott 1960'!F39)*100000)/('E5 - GDP deflator 1790-1909'!E57)/1000000</f>
        <v>2.3270182878065454E-2</v>
      </c>
      <c r="G50" s="141">
        <f>'S8-NFI 1820-1860'!F30</f>
        <v>-1.4594339622641509E-2</v>
      </c>
      <c r="H50" s="141">
        <f>'S3 - Davis 2004 IIP'!C59</f>
        <v>44.909320942761084</v>
      </c>
      <c r="I50" s="141">
        <f>0.9*$I49+0.1*$I59</f>
        <v>1.7251496282303023E-2</v>
      </c>
      <c r="J50" s="28">
        <f t="shared" si="6"/>
        <v>0.78342882654022006</v>
      </c>
      <c r="K50" s="28"/>
      <c r="L50" s="28">
        <f t="shared" si="7"/>
        <v>1.6622955369461385</v>
      </c>
    </row>
    <row r="51" spans="1:12" ht="17.5" customHeight="1">
      <c r="A51" s="22">
        <v>1841</v>
      </c>
      <c r="B51" s="28"/>
      <c r="C51" s="29"/>
      <c r="D51" s="28">
        <f t="shared" si="8"/>
        <v>0.90055793499766756</v>
      </c>
      <c r="E51" s="28"/>
      <c r="F51" s="141">
        <f>(('S6-Trescott 1960'!F40)*100000)/('E5 - GDP deflator 1790-1909'!E58)/1000000</f>
        <v>2.3285252466130127E-2</v>
      </c>
      <c r="G51" s="141">
        <f>'S8-NFI 1820-1860'!F31</f>
        <v>-8.5950413223140499E-3</v>
      </c>
      <c r="H51" s="141">
        <f>'S3 - Davis 2004 IIP'!C60</f>
        <v>46.893222019769055</v>
      </c>
      <c r="I51" s="141">
        <f>0.8*$I49+0.2*$I59</f>
        <v>1.6923386044227426E-2</v>
      </c>
      <c r="J51" s="28">
        <f t="shared" si="6"/>
        <v>0.8082823102420339</v>
      </c>
      <c r="K51" s="28"/>
      <c r="L51" s="28">
        <f t="shared" si="7"/>
        <v>1.7088402452397013</v>
      </c>
    </row>
    <row r="52" spans="1:12" ht="17.5" customHeight="1">
      <c r="A52" s="22">
        <v>1842</v>
      </c>
      <c r="B52" s="28"/>
      <c r="C52" s="29"/>
      <c r="D52" s="28">
        <f t="shared" si="8"/>
        <v>0.92278451861339461</v>
      </c>
      <c r="E52" s="28"/>
      <c r="F52" s="141">
        <f>(('S6-Trescott 1960'!F41)*100000)/('E5 - GDP deflator 1790-1909'!E59)/1000000</f>
        <v>2.4317402874646978E-2</v>
      </c>
      <c r="G52" s="141">
        <f>'S8-NFI 1820-1860'!F32</f>
        <v>-9.088495575221239E-3</v>
      </c>
      <c r="H52" s="141">
        <f>'S3 - Davis 2004 IIP'!C61</f>
        <v>49.925188734735571</v>
      </c>
      <c r="I52" s="141">
        <f>0.7*$I49+0.3*$I59</f>
        <v>1.6595275806151825E-2</v>
      </c>
      <c r="J52" s="28">
        <f t="shared" si="6"/>
        <v>0.84375118402654659</v>
      </c>
      <c r="K52" s="28"/>
      <c r="L52" s="28">
        <f t="shared" si="7"/>
        <v>1.7665357026399411</v>
      </c>
    </row>
    <row r="53" spans="1:12" ht="17.5" customHeight="1">
      <c r="A53" s="22">
        <v>1843</v>
      </c>
      <c r="B53" s="28"/>
      <c r="C53" s="29"/>
      <c r="D53" s="28">
        <f t="shared" si="8"/>
        <v>0.94555967439758315</v>
      </c>
      <c r="E53" s="28"/>
      <c r="F53" s="141">
        <f>(('S6-Trescott 1960'!F42)*100000)/('E5 - GDP deflator 1790-1909'!E60)/1000000</f>
        <v>1.1390899876634242E-2</v>
      </c>
      <c r="G53" s="141">
        <f>'S8-NFI 1820-1860'!F33</f>
        <v>-9.8854166666666656E-3</v>
      </c>
      <c r="H53" s="141">
        <f>'S3 - Davis 2004 IIP'!C62</f>
        <v>55.748140779705366</v>
      </c>
      <c r="I53" s="141">
        <f>0.6*$I49+0.4*$I59</f>
        <v>1.6267165568076232E-2</v>
      </c>
      <c r="J53" s="28">
        <f t="shared" si="6"/>
        <v>0.9083697193858572</v>
      </c>
      <c r="K53" s="28"/>
      <c r="L53" s="28">
        <f t="shared" si="7"/>
        <v>1.8539293937834405</v>
      </c>
    </row>
    <row r="54" spans="1:12" ht="17.5" customHeight="1">
      <c r="A54" s="22">
        <v>1844</v>
      </c>
      <c r="B54" s="28"/>
      <c r="C54" s="29"/>
      <c r="D54" s="28">
        <f t="shared" si="8"/>
        <v>0.96889694160706252</v>
      </c>
      <c r="E54" s="28"/>
      <c r="F54" s="141">
        <f>(('S6-Trescott 1960'!F43)*100000)/('E5 - GDP deflator 1790-1909'!E61)/1000000</f>
        <v>2.0898447758271588E-2</v>
      </c>
      <c r="G54" s="141">
        <f>'S8-NFI 1820-1860'!F34</f>
        <v>-7.5263157894736839E-3</v>
      </c>
      <c r="H54" s="141">
        <f>'S3 - Davis 2004 IIP'!C63</f>
        <v>61.912603203629885</v>
      </c>
      <c r="I54" s="141">
        <f>0.5*$I49+0.5*$I59</f>
        <v>1.5939055330000635E-2</v>
      </c>
      <c r="J54" s="28">
        <f t="shared" si="6"/>
        <v>1.0002005400558294</v>
      </c>
      <c r="K54" s="28"/>
      <c r="L54" s="28">
        <f t="shared" si="7"/>
        <v>1.9690974816628919</v>
      </c>
    </row>
    <row r="55" spans="1:12" ht="17.5" customHeight="1">
      <c r="A55" s="22">
        <v>1845</v>
      </c>
      <c r="B55" s="28"/>
      <c r="C55" s="29"/>
      <c r="D55" s="28">
        <f t="shared" si="8"/>
        <v>0.99281019365975509</v>
      </c>
      <c r="E55" s="28"/>
      <c r="F55" s="141">
        <f>(('S6-Trescott 1960'!F44)*100000)/('E5 - GDP deflator 1790-1909'!E62)/1000000</f>
        <v>2.0793158293694127E-2</v>
      </c>
      <c r="G55" s="141">
        <f>'S8-NFI 1820-1860'!F35</f>
        <v>-1.165979381443299E-2</v>
      </c>
      <c r="H55" s="141">
        <f>'S3 - Davis 2004 IIP'!C64</f>
        <v>69.761476877822986</v>
      </c>
      <c r="I55" s="141">
        <f>0.4*$I49+0.6*$I59</f>
        <v>1.5610945091925038E-2</v>
      </c>
      <c r="J55" s="28">
        <f t="shared" si="6"/>
        <v>1.0981759495505541</v>
      </c>
      <c r="K55" s="28"/>
      <c r="L55" s="28">
        <f t="shared" si="7"/>
        <v>2.0909861432103094</v>
      </c>
    </row>
    <row r="56" spans="1:12" ht="17.5" customHeight="1">
      <c r="A56" s="22">
        <v>1846</v>
      </c>
      <c r="B56" s="28"/>
      <c r="C56" s="29"/>
      <c r="D56" s="28">
        <f t="shared" si="8"/>
        <v>1.0173136463820742</v>
      </c>
      <c r="E56" s="28"/>
      <c r="F56" s="141">
        <f>(('S6-Trescott 1960'!F45)*100000)/('E5 - GDP deflator 1790-1909'!E63)/1000000</f>
        <v>2.4626603065328358E-2</v>
      </c>
      <c r="G56" s="141">
        <f>'S8-NFI 1820-1860'!F36</f>
        <v>-9.6929824561403505E-3</v>
      </c>
      <c r="H56" s="141">
        <f>'S3 - Davis 2004 IIP'!C65</f>
        <v>80.693028279194536</v>
      </c>
      <c r="I56" s="141">
        <f>0.3*$I49+0.7*$I59</f>
        <v>1.5282834853849441E-2</v>
      </c>
      <c r="J56" s="28">
        <f t="shared" si="6"/>
        <v>1.248151845657121</v>
      </c>
      <c r="K56" s="28"/>
      <c r="L56" s="28">
        <f t="shared" si="7"/>
        <v>2.265465492039195</v>
      </c>
    </row>
    <row r="57" spans="1:12" ht="17.5" customHeight="1">
      <c r="A57" s="22">
        <v>1847</v>
      </c>
      <c r="B57" s="28"/>
      <c r="C57" s="29"/>
      <c r="D57" s="28">
        <f t="shared" si="8"/>
        <v>1.042421866459875</v>
      </c>
      <c r="E57" s="28"/>
      <c r="F57" s="141">
        <f>(('S6-Trescott 1960'!F46)*100000)/('E5 - GDP deflator 1790-1909'!E64)/1000000</f>
        <v>4.1867288326218145E-2</v>
      </c>
      <c r="G57" s="141">
        <f>'S8-NFI 1820-1860'!F37</f>
        <v>-8.0656934306569342E-3</v>
      </c>
      <c r="H57" s="141">
        <f>'S3 - Davis 2004 IIP'!C66</f>
        <v>90.499789925414206</v>
      </c>
      <c r="I57" s="141">
        <f>0.2*$I49+0.8*$I59</f>
        <v>1.4954724615773848E-2</v>
      </c>
      <c r="J57" s="28">
        <f t="shared" si="6"/>
        <v>1.3872010310155152</v>
      </c>
      <c r="K57" s="28"/>
      <c r="L57" s="28">
        <f t="shared" si="7"/>
        <v>2.4296228974753902</v>
      </c>
    </row>
    <row r="58" spans="1:12" ht="17.5" customHeight="1">
      <c r="A58" s="142">
        <v>1848</v>
      </c>
      <c r="B58" s="143"/>
      <c r="C58" s="144"/>
      <c r="D58" s="143">
        <f t="shared" si="8"/>
        <v>1.0681497800979827</v>
      </c>
      <c r="E58" s="143"/>
      <c r="F58" s="145">
        <f>(('S6-Trescott 1960'!F47)*100000)/('E5 - GDP deflator 1790-1909'!E65)/1000000</f>
        <v>4.8526295691430715E-2</v>
      </c>
      <c r="G58" s="145">
        <f>'S8-NFI 1820-1860'!F38</f>
        <v>-1.1874015748031496E-2</v>
      </c>
      <c r="H58" s="145">
        <f>'S3 - Davis 2004 IIP'!C67</f>
        <v>96.321726408186606</v>
      </c>
      <c r="I58" s="145">
        <f>0.1*$I49+0.9*$I59</f>
        <v>1.4626614377698252E-2</v>
      </c>
      <c r="J58" s="143">
        <f t="shared" si="6"/>
        <v>1.445513028310099</v>
      </c>
      <c r="K58" s="143"/>
      <c r="L58" s="143">
        <f t="shared" si="7"/>
        <v>2.5136628084080819</v>
      </c>
    </row>
    <row r="59" spans="1:12" ht="17.5" customHeight="1">
      <c r="A59" s="212">
        <v>1849</v>
      </c>
      <c r="B59" s="213">
        <f>'E6 - Ag share of GDP 1793-1859'!D12</f>
        <v>1.0945126818934467</v>
      </c>
      <c r="C59" s="214">
        <f>(B59/B49)^(1/($A60-$A50))-1</f>
        <v>2.4680903639791474E-2</v>
      </c>
      <c r="D59" s="213">
        <f>B59</f>
        <v>1.0945126818934467</v>
      </c>
      <c r="E59" s="213">
        <f>K59-B59</f>
        <v>1.4542580201605564</v>
      </c>
      <c r="F59" s="215">
        <f>(('S6-Trescott 1960'!F48)*100000)/('E5 - GDP deflator 1790-1909'!E66)/1000000</f>
        <v>3.7234367230279952E-2</v>
      </c>
      <c r="G59" s="215">
        <f>'S8-NFI 1820-1860'!F39</f>
        <v>-1.3111111111111112E-2</v>
      </c>
      <c r="H59" s="215">
        <f>'S3 - Davis 2004 IIP'!C68</f>
        <v>100.01988670117834</v>
      </c>
      <c r="I59" s="215">
        <f>(E59-F59-G59)/H59</f>
        <v>1.4298504139622656E-2</v>
      </c>
      <c r="J59" s="213">
        <f t="shared" si="6"/>
        <v>1.4542580201605564</v>
      </c>
      <c r="K59" s="213">
        <f>'E3-Benchmarks, 1839-1859'!M14</f>
        <v>2.5487707020540031</v>
      </c>
      <c r="L59" s="213">
        <f t="shared" si="7"/>
        <v>2.5487707020540031</v>
      </c>
    </row>
    <row r="60" spans="1:12" ht="17.5" customHeight="1">
      <c r="A60" s="216">
        <v>1850</v>
      </c>
      <c r="B60" s="213"/>
      <c r="C60" s="214"/>
      <c r="D60" s="213">
        <f t="shared" ref="D60:D68" si="9">D59*(1+$C$69)</f>
        <v>1.1464767720516884</v>
      </c>
      <c r="E60" s="213"/>
      <c r="F60" s="215">
        <f>(('S6-Trescott 1960'!F49)*100000)/('E5 - GDP deflator 1790-1909'!E67)/1000000</f>
        <v>2.6459591660043084E-2</v>
      </c>
      <c r="G60" s="215">
        <f>'S8-NFI 1820-1860'!F40</f>
        <v>-9.2515337423312877E-3</v>
      </c>
      <c r="H60" s="215">
        <f>'S3 - Davis 2004 IIP'!C69</f>
        <v>103.91160735385643</v>
      </c>
      <c r="I60" s="215">
        <f>0.9*$I59+0.1*$I69</f>
        <v>1.4473563620093182E-2</v>
      </c>
      <c r="J60" s="213">
        <f t="shared" si="6"/>
        <v>1.5211793178198953</v>
      </c>
      <c r="K60" s="213"/>
      <c r="L60" s="213">
        <f t="shared" si="7"/>
        <v>2.667656089871584</v>
      </c>
    </row>
    <row r="61" spans="1:12" ht="17.5" customHeight="1">
      <c r="A61" s="212">
        <v>1851</v>
      </c>
      <c r="B61" s="213"/>
      <c r="C61" s="214"/>
      <c r="D61" s="213">
        <f t="shared" si="9"/>
        <v>1.2009079571195136</v>
      </c>
      <c r="E61" s="213"/>
      <c r="F61" s="215">
        <f>(('S6-Trescott 1960'!F50)*100000)/('E5 - GDP deflator 1790-1909'!E68)/1000000</f>
        <v>3.2859336147086499E-2</v>
      </c>
      <c r="G61" s="215">
        <f>'S8-NFI 1820-1860'!F41</f>
        <v>-1.1012738853503186E-2</v>
      </c>
      <c r="H61" s="215">
        <f>'S3 - Davis 2004 IIP'!C70</f>
        <v>113.0451531019545</v>
      </c>
      <c r="I61" s="215">
        <f>0.8*$I59+0.2*$I69</f>
        <v>1.464862310056371E-2</v>
      </c>
      <c r="J61" s="213">
        <f t="shared" si="6"/>
        <v>1.6778024384296353</v>
      </c>
      <c r="K61" s="213"/>
      <c r="L61" s="213">
        <f t="shared" si="7"/>
        <v>2.8787103955491489</v>
      </c>
    </row>
    <row r="62" spans="1:12" ht="17.5" customHeight="1">
      <c r="A62" s="212">
        <v>1852</v>
      </c>
      <c r="B62" s="213"/>
      <c r="C62" s="214"/>
      <c r="D62" s="213">
        <f t="shared" si="9"/>
        <v>1.2579233671625956</v>
      </c>
      <c r="E62" s="213"/>
      <c r="F62" s="215">
        <f>(('S6-Trescott 1960'!F51)*100000)/('E5 - GDP deflator 1790-1909'!E69)/1000000</f>
        <v>3.4023546896397576E-2</v>
      </c>
      <c r="G62" s="215">
        <f>'S8-NFI 1820-1860'!F42</f>
        <v>-1.51328125E-2</v>
      </c>
      <c r="H62" s="215">
        <f>'S3 - Davis 2004 IIP'!C71</f>
        <v>129.982662994039</v>
      </c>
      <c r="I62" s="215">
        <f>0.7*$I59+0.3*$I69</f>
        <v>1.4823682581034232E-2</v>
      </c>
      <c r="J62" s="213">
        <f t="shared" si="6"/>
        <v>1.9457124716575764</v>
      </c>
      <c r="K62" s="213"/>
      <c r="L62" s="213">
        <f t="shared" si="7"/>
        <v>3.2036358388201718</v>
      </c>
    </row>
    <row r="63" spans="1:12" ht="17.5" customHeight="1">
      <c r="A63" s="147">
        <v>1853</v>
      </c>
      <c r="B63" s="148"/>
      <c r="C63" s="149"/>
      <c r="D63" s="148">
        <f t="shared" si="9"/>
        <v>1.3176456932212712</v>
      </c>
      <c r="E63" s="148"/>
      <c r="F63" s="150">
        <f>(('S6-Trescott 1960'!F52)*100000)/('E5 - GDP deflator 1790-1909'!E70)/1000000</f>
        <v>3.8778303312910489E-2</v>
      </c>
      <c r="G63" s="150">
        <f>'S8-NFI 1820-1860'!F43</f>
        <v>-1.8571428571428569E-2</v>
      </c>
      <c r="H63" s="150">
        <f>'S3 - Davis 2004 IIP'!C72</f>
        <v>141.12488435833552</v>
      </c>
      <c r="I63" s="150">
        <f>0.6*$I59+0.4*$I69</f>
        <v>1.499874206150476E-2</v>
      </c>
      <c r="J63" s="148">
        <f t="shared" si="6"/>
        <v>2.1369026136918441</v>
      </c>
      <c r="K63" s="148"/>
      <c r="L63" s="148">
        <f t="shared" si="7"/>
        <v>3.4545483069131153</v>
      </c>
    </row>
    <row r="64" spans="1:12" ht="17.5" customHeight="1">
      <c r="A64" s="22">
        <v>1854</v>
      </c>
      <c r="B64" s="28"/>
      <c r="C64" s="29"/>
      <c r="D64" s="28">
        <f t="shared" si="9"/>
        <v>1.3802034513284858</v>
      </c>
      <c r="E64" s="28"/>
      <c r="F64" s="141">
        <f>(('S6-Trescott 1960'!F53)*100000)/('E5 - GDP deflator 1790-1909'!E71)/1000000</f>
        <v>3.7312532119845296E-2</v>
      </c>
      <c r="G64" s="141">
        <f>'S8-NFI 1820-1860'!F44</f>
        <v>-1.8200000000000004E-2</v>
      </c>
      <c r="H64" s="141">
        <f>'S3 - Davis 2004 IIP'!C73</f>
        <v>143.024038784879</v>
      </c>
      <c r="I64" s="141">
        <f>0.5*$I59+0.5*$I69</f>
        <v>1.5173801541975288E-2</v>
      </c>
      <c r="J64" s="28">
        <f t="shared" si="6"/>
        <v>2.1893309123733751</v>
      </c>
      <c r="K64" s="28"/>
      <c r="L64" s="28">
        <f t="shared" si="7"/>
        <v>3.5695343637018606</v>
      </c>
    </row>
    <row r="65" spans="1:12" ht="17.5" customHeight="1">
      <c r="A65" s="22">
        <v>1855</v>
      </c>
      <c r="B65" s="28"/>
      <c r="C65" s="29"/>
      <c r="D65" s="28">
        <f t="shared" si="9"/>
        <v>1.445731259062496</v>
      </c>
      <c r="E65" s="28"/>
      <c r="F65" s="141">
        <f>(('S6-Trescott 1960'!F54)*100000)/('E5 - GDP deflator 1790-1909'!E72)/1000000</f>
        <v>4.4632015915469635E-2</v>
      </c>
      <c r="G65" s="141">
        <f>'S8-NFI 1820-1860'!F45</f>
        <v>-2.0560283687943263E-2</v>
      </c>
      <c r="H65" s="141">
        <f>'S3 - Davis 2004 IIP'!C74</f>
        <v>145.94008510511918</v>
      </c>
      <c r="I65" s="141">
        <f>0.4*$I59+0.6*$I69</f>
        <v>1.5348861022445814E-2</v>
      </c>
      <c r="J65" s="28">
        <f t="shared" si="6"/>
        <v>2.2640858161099153</v>
      </c>
      <c r="K65" s="28"/>
      <c r="L65" s="28">
        <f t="shared" si="7"/>
        <v>3.7098170751724115</v>
      </c>
    </row>
    <row r="66" spans="1:12" ht="17.5" customHeight="1">
      <c r="A66" s="22">
        <v>1856</v>
      </c>
      <c r="B66" s="28"/>
      <c r="C66" s="29"/>
      <c r="D66" s="28">
        <f t="shared" si="9"/>
        <v>1.5143701252294441</v>
      </c>
      <c r="E66" s="28"/>
      <c r="F66" s="141">
        <f>(('S6-Trescott 1960'!F55)*100000)/('E5 - GDP deflator 1790-1909'!E73)/1000000</f>
        <v>4.9989824703780661E-2</v>
      </c>
      <c r="G66" s="141">
        <f>'S8-NFI 1820-1860'!F46</f>
        <v>-2.1697841726618705E-2</v>
      </c>
      <c r="H66" s="141">
        <f>'S3 - Davis 2004 IIP'!C75</f>
        <v>148.07538139514935</v>
      </c>
      <c r="I66" s="141">
        <f>0.3*$I59+0.7*$I69</f>
        <v>1.5523920502916339E-2</v>
      </c>
      <c r="J66" s="28">
        <f t="shared" si="6"/>
        <v>2.3270024321944778</v>
      </c>
      <c r="K66" s="28"/>
      <c r="L66" s="28">
        <f t="shared" si="7"/>
        <v>3.8413725574239219</v>
      </c>
    </row>
    <row r="67" spans="1:12" ht="17.5" customHeight="1">
      <c r="A67" s="22">
        <v>1857</v>
      </c>
      <c r="B67" s="28"/>
      <c r="C67" s="29"/>
      <c r="D67" s="28">
        <f t="shared" si="9"/>
        <v>1.5862677532991676</v>
      </c>
      <c r="E67" s="28"/>
      <c r="F67" s="141">
        <f>(('S6-Trescott 1960'!F56)*100000)/('E5 - GDP deflator 1790-1909'!E74)/1000000</f>
        <v>5.2374437506487639E-2</v>
      </c>
      <c r="G67" s="141">
        <f>'S8-NFI 1820-1860'!F47</f>
        <v>-1.2912162162162162E-2</v>
      </c>
      <c r="H67" s="141">
        <f>'S3 - Davis 2004 IIP'!C76</f>
        <v>142.57545696998682</v>
      </c>
      <c r="I67" s="141">
        <f>0.2*$I59+0.8*$I69</f>
        <v>1.5698979983386867E-2</v>
      </c>
      <c r="J67" s="28">
        <f t="shared" si="6"/>
        <v>2.2777515204383847</v>
      </c>
      <c r="K67" s="28"/>
      <c r="L67" s="28">
        <f t="shared" si="7"/>
        <v>3.8640192737375525</v>
      </c>
    </row>
    <row r="68" spans="1:12" ht="17.5" customHeight="1">
      <c r="A68" s="22">
        <v>1858</v>
      </c>
      <c r="B68" s="28"/>
      <c r="C68" s="29"/>
      <c r="D68" s="28">
        <f t="shared" si="9"/>
        <v>1.6615788592472063</v>
      </c>
      <c r="E68" s="28"/>
      <c r="F68" s="141">
        <f>(('S6-Trescott 1960'!F57)*100000)/('E5 - GDP deflator 1790-1909'!E75)/1000000</f>
        <v>6.3759738483127409E-2</v>
      </c>
      <c r="G68" s="141">
        <f>'S8-NFI 1820-1860'!F48</f>
        <v>-1.4207142857142859E-2</v>
      </c>
      <c r="H68" s="141">
        <f>'S3 - Davis 2004 IIP'!C77</f>
        <v>145.39647450319444</v>
      </c>
      <c r="I68" s="141">
        <f>0.1*$I59+0.9*$I69</f>
        <v>1.5874039463857393E-2</v>
      </c>
      <c r="J68" s="28">
        <f t="shared" si="6"/>
        <v>2.3575819697954281</v>
      </c>
      <c r="K68" s="28"/>
      <c r="L68" s="28">
        <f t="shared" si="7"/>
        <v>4.0191608290426348</v>
      </c>
    </row>
    <row r="69" spans="1:12" ht="17.5" customHeight="1">
      <c r="A69" s="22">
        <v>1859</v>
      </c>
      <c r="B69" s="28">
        <f>'E6 - Ag share of GDP 1793-1859'!D13</f>
        <v>1.7404655044869697</v>
      </c>
      <c r="C69" s="29">
        <f>(B69/B59)^(1/($A70-$A60))-1</f>
        <v>4.7476919196903777E-2</v>
      </c>
      <c r="D69" s="28">
        <f>B69</f>
        <v>1.7404655044869697</v>
      </c>
      <c r="E69" s="28">
        <f>K69-B69</f>
        <v>2.5571809282559252</v>
      </c>
      <c r="F69" s="141">
        <f>(('S6-Trescott 1960'!F58)*100000)/('E5 - GDP deflator 1790-1909'!E76)/1000000</f>
        <v>5.9123836595225486E-2</v>
      </c>
      <c r="G69" s="141">
        <f>'S8-NFI 1820-1860'!F49</f>
        <v>-2.1728571428571427E-2</v>
      </c>
      <c r="H69" s="141">
        <f>'S3 - Davis 2004 IIP'!C78</f>
        <v>157.00480580436667</v>
      </c>
      <c r="I69" s="141">
        <f>(E69-F69-G69)/H69</f>
        <v>1.6049098944327919E-2</v>
      </c>
      <c r="J69" s="28">
        <f t="shared" si="6"/>
        <v>2.5571809282559252</v>
      </c>
      <c r="K69" s="28">
        <f>'E3-Benchmarks, 1839-1859'!M15</f>
        <v>4.2976464327428952</v>
      </c>
      <c r="L69" s="28">
        <f t="shared" si="7"/>
        <v>4.2976464327428952</v>
      </c>
    </row>
    <row r="70" spans="1:12" ht="17.5" customHeight="1">
      <c r="A70" s="22">
        <v>1860</v>
      </c>
      <c r="B70" s="28"/>
      <c r="C70" s="29"/>
      <c r="D70" s="28">
        <f>B69*(1+C79)</f>
        <v>1.7786386159131431</v>
      </c>
      <c r="E70" s="28"/>
      <c r="F70" s="141">
        <f>(('S6-Trescott 1960'!F59)*100000)/('E5 - GDP deflator 1790-1909'!E77)/1000000</f>
        <v>5.5750195347438802E-2</v>
      </c>
      <c r="G70" s="141">
        <f>'S8-NFI 1820-1860'!F50</f>
        <v>-2.5100000000000001E-2</v>
      </c>
      <c r="H70" s="141">
        <f>'S3 - Davis 2004 IIP'!C79</f>
        <v>157.28210975911412</v>
      </c>
      <c r="I70" s="141">
        <f>0.9*$I69+0.1*$I79</f>
        <v>1.5934778370148433E-2</v>
      </c>
      <c r="J70" s="28">
        <f t="shared" si="6"/>
        <v>2.5369057559482822</v>
      </c>
      <c r="K70" s="28"/>
      <c r="L70" s="28">
        <f t="shared" si="7"/>
        <v>4.3155443718614253</v>
      </c>
    </row>
    <row r="71" spans="1:12" ht="17.5" customHeight="1">
      <c r="A71" s="22">
        <v>1861</v>
      </c>
      <c r="B71" s="28"/>
      <c r="C71" s="29"/>
      <c r="D71" s="28">
        <f t="shared" ref="D71:D79" si="10">D70*(1+$C$79)</f>
        <v>1.8176489668204774</v>
      </c>
      <c r="E71" s="28"/>
      <c r="F71" s="141">
        <f>('S7-Trescott 1966'!D8*100000)/('E5 - GDP deflator 1790-1909'!E78)/1000000</f>
        <v>5.5629904987622755E-2</v>
      </c>
      <c r="G71" s="141">
        <f>'S9 -  NFI 1869-1899'!G7</f>
        <v>-2.2719033232628399E-2</v>
      </c>
      <c r="H71" s="141">
        <f>'S3 - Davis 2004 IIP'!C80</f>
        <v>161.00505287541012</v>
      </c>
      <c r="I71" s="141">
        <f>0.8*$I69+0.2*$I79</f>
        <v>1.5820457795968943E-2</v>
      </c>
      <c r="J71" s="28">
        <f t="shared" si="6"/>
        <v>2.580084515708168</v>
      </c>
      <c r="K71" s="28"/>
      <c r="L71" s="28">
        <f t="shared" si="7"/>
        <v>4.3977334825286452</v>
      </c>
    </row>
    <row r="72" spans="1:12" ht="17.5" customHeight="1">
      <c r="A72" s="22">
        <v>1862</v>
      </c>
      <c r="B72" s="28"/>
      <c r="C72" s="29"/>
      <c r="D72" s="28">
        <f t="shared" si="10"/>
        <v>1.8575149201330996</v>
      </c>
      <c r="E72" s="28"/>
      <c r="F72" s="141">
        <f>('S7-Trescott 1966'!D9*100000)/('E5 - GDP deflator 1790-1909'!E79)/1000000</f>
        <v>0.35584889068094389</v>
      </c>
      <c r="G72" s="141">
        <f>'S9 -  NFI 1869-1899'!G8</f>
        <v>-2.7827788649706454E-2</v>
      </c>
      <c r="H72" s="141">
        <f>'S3 - Davis 2004 IIP'!C81</f>
        <v>175.66592590943776</v>
      </c>
      <c r="I72" s="141">
        <f>0.7*$I69+0.3*$I79</f>
        <v>1.5706137221789457E-2</v>
      </c>
      <c r="J72" s="28">
        <f t="shared" si="6"/>
        <v>3.0870542395575673</v>
      </c>
      <c r="K72" s="28"/>
      <c r="L72" s="28">
        <f t="shared" si="7"/>
        <v>4.9445691596906673</v>
      </c>
    </row>
    <row r="73" spans="1:12" ht="17.5" customHeight="1">
      <c r="A73" s="22">
        <v>1863</v>
      </c>
      <c r="B73" s="28"/>
      <c r="C73" s="29"/>
      <c r="D73" s="28">
        <f t="shared" si="10"/>
        <v>1.8982552415236815</v>
      </c>
      <c r="E73" s="28"/>
      <c r="F73" s="141">
        <f>('S7-Trescott 1966'!D10*100000)/('E5 - GDP deflator 1790-1909'!E80)/1000000</f>
        <v>0.45268311588217131</v>
      </c>
      <c r="G73" s="141">
        <f>'S9 -  NFI 1869-1899'!G9</f>
        <v>-3.4645454545454542E-2</v>
      </c>
      <c r="H73" s="141">
        <f>'S3 - Davis 2004 IIP'!C82</f>
        <v>192.85098591960292</v>
      </c>
      <c r="I73" s="141">
        <f>0.6*$I69+0.4*$I79</f>
        <v>1.5591816647609967E-2</v>
      </c>
      <c r="J73" s="28">
        <f t="shared" ref="J73:J79" si="11">(I73*H73)+F73+G73</f>
        <v>3.4249348741059773</v>
      </c>
      <c r="K73" s="28"/>
      <c r="L73" s="28">
        <f t="shared" ref="L73:L79" si="12">D73+J73</f>
        <v>5.323190115629659</v>
      </c>
    </row>
    <row r="74" spans="1:12" ht="17.5" customHeight="1">
      <c r="A74" s="22">
        <v>1864</v>
      </c>
      <c r="B74" s="28"/>
      <c r="C74" s="29"/>
      <c r="D74" s="28">
        <f t="shared" si="10"/>
        <v>1.9398891082468031</v>
      </c>
      <c r="E74" s="28"/>
      <c r="F74" s="141">
        <f>('S7-Trescott 1966'!D11*100000)/('E5 - GDP deflator 1790-1909'!E81)/1000000</f>
        <v>0.44455263829135522</v>
      </c>
      <c r="G74" s="141">
        <f>'S9 -  NFI 1869-1899'!G10</f>
        <v>-4.2593835616438355E-2</v>
      </c>
      <c r="H74" s="141">
        <f>'S3 - Davis 2004 IIP'!C83</f>
        <v>196.2368516399865</v>
      </c>
      <c r="I74" s="141">
        <f>0.5*$I69+0.5*$I79</f>
        <v>1.5477496073430481E-2</v>
      </c>
      <c r="J74" s="28">
        <f t="shared" si="11"/>
        <v>3.4392139033951676</v>
      </c>
      <c r="K74" s="28"/>
      <c r="L74" s="28">
        <f t="shared" si="12"/>
        <v>5.3791030116419707</v>
      </c>
    </row>
    <row r="75" spans="1:12" ht="17.5" customHeight="1">
      <c r="A75" s="22">
        <v>1865</v>
      </c>
      <c r="B75" s="28"/>
      <c r="C75" s="29"/>
      <c r="D75" s="28">
        <f t="shared" si="10"/>
        <v>1.9824361181660564</v>
      </c>
      <c r="E75" s="28"/>
      <c r="F75" s="141">
        <f>('S7-Trescott 1966'!D12*100000)/('E5 - GDP deflator 1790-1909'!E82)/1000000</f>
        <v>0.65185351082713772</v>
      </c>
      <c r="G75" s="141">
        <f>'S9 -  NFI 1869-1899'!G11</f>
        <v>-5.5876923076923067E-2</v>
      </c>
      <c r="H75" s="141">
        <f>'S3 - Davis 2004 IIP'!C84</f>
        <v>191.69471825380651</v>
      </c>
      <c r="I75" s="141">
        <f>0.4*$I69+0.6*$I79</f>
        <v>1.5363175499250993E-2</v>
      </c>
      <c r="J75" s="28">
        <f t="shared" si="11"/>
        <v>3.5410161865629171</v>
      </c>
      <c r="K75" s="28"/>
      <c r="L75" s="28">
        <f t="shared" si="12"/>
        <v>5.5234523047289734</v>
      </c>
    </row>
    <row r="76" spans="1:12" ht="17.5" customHeight="1">
      <c r="A76" s="22">
        <v>1866</v>
      </c>
      <c r="B76" s="28"/>
      <c r="C76" s="29"/>
      <c r="D76" s="28">
        <f t="shared" si="10"/>
        <v>2.0259162989791371</v>
      </c>
      <c r="E76" s="28"/>
      <c r="F76" s="141">
        <f>('S7-Trescott 1966'!D13*100000)/('E5 - GDP deflator 1790-1909'!E83)/1000000</f>
        <v>0.24244852019207735</v>
      </c>
      <c r="G76" s="141">
        <f>'S9 -  NFI 1869-1899'!G12</f>
        <v>-6.7110650329877466E-2</v>
      </c>
      <c r="H76" s="141">
        <f>'S3 - Davis 2004 IIP'!C85</f>
        <v>200.63324872918565</v>
      </c>
      <c r="I76" s="141">
        <f>0.3*$I69+0.7*$I79</f>
        <v>1.5248854925071505E-2</v>
      </c>
      <c r="J76" s="28">
        <f t="shared" si="11"/>
        <v>3.2347651728793387</v>
      </c>
      <c r="K76" s="28"/>
      <c r="L76" s="28">
        <f t="shared" si="12"/>
        <v>5.2606814718584758</v>
      </c>
    </row>
    <row r="77" spans="1:12" ht="17.5" customHeight="1">
      <c r="A77" s="22">
        <v>1867</v>
      </c>
      <c r="B77" s="28"/>
      <c r="C77" s="29"/>
      <c r="D77" s="28">
        <f t="shared" si="10"/>
        <v>2.0703501176452686</v>
      </c>
      <c r="E77" s="28"/>
      <c r="F77" s="141">
        <f>('S7-Trescott 1966'!D14*100000)/('E5 - GDP deflator 1790-1909'!E84)/1000000</f>
        <v>0.10564119751412981</v>
      </c>
      <c r="G77" s="141">
        <f>'S9 -  NFI 1869-1899'!G13</f>
        <v>-5.6008469055374599E-2</v>
      </c>
      <c r="H77" s="141">
        <f>'S3 - Davis 2004 IIP'!C86</f>
        <v>214.57194187033383</v>
      </c>
      <c r="I77" s="141">
        <f>0.2*$I69+0.8*$I79</f>
        <v>1.5134534350892018E-2</v>
      </c>
      <c r="J77" s="28">
        <f t="shared" si="11"/>
        <v>3.2970791534329278</v>
      </c>
      <c r="K77" s="28"/>
      <c r="L77" s="28">
        <f t="shared" si="12"/>
        <v>5.3674292710781959</v>
      </c>
    </row>
    <row r="78" spans="1:12" ht="17.5" customHeight="1">
      <c r="A78" s="22">
        <v>1868</v>
      </c>
      <c r="B78" s="28"/>
      <c r="C78" s="29"/>
      <c r="D78" s="28">
        <f t="shared" si="10"/>
        <v>2.1157584900193935</v>
      </c>
      <c r="E78" s="28"/>
      <c r="F78" s="141">
        <f>('S7-Trescott 1966'!D15*100000)/('E5 - GDP deflator 1790-1909'!E85)/1000000</f>
        <v>0.10154246127580342</v>
      </c>
      <c r="G78" s="141">
        <f>'S9 -  NFI 1869-1899'!G14</f>
        <v>-6.4760305343511432E-2</v>
      </c>
      <c r="H78" s="141">
        <f>'S3 - Davis 2004 IIP'!C87</f>
        <v>227.80597111557535</v>
      </c>
      <c r="I78" s="141">
        <f>0.1*$I69+0.9*$I79</f>
        <v>1.5020213776712529E-2</v>
      </c>
      <c r="J78" s="28">
        <f t="shared" si="11"/>
        <v>3.4584765416998331</v>
      </c>
      <c r="K78" s="28"/>
      <c r="L78" s="28">
        <f t="shared" si="12"/>
        <v>5.5742350317192262</v>
      </c>
    </row>
    <row r="79" spans="1:12" ht="17.5" customHeight="1">
      <c r="A79" s="22">
        <v>1869</v>
      </c>
      <c r="B79" s="28">
        <v>2.1621627906976699</v>
      </c>
      <c r="C79" s="29">
        <f>(B79/B69)^(1/($A79-$A69))-1</f>
        <v>2.1932702100536883E-2</v>
      </c>
      <c r="D79" s="28">
        <f t="shared" si="10"/>
        <v>2.1621627906976708</v>
      </c>
      <c r="E79" s="28">
        <f>K79-B79</f>
        <v>3.6020442919940137</v>
      </c>
      <c r="F79" s="141">
        <f>('S7-Trescott 1966'!D16*100000)/('E5 - GDP deflator 1790-1909'!E86)/1000000</f>
        <v>9.4634412694965309E-2</v>
      </c>
      <c r="G79" s="141">
        <f>'S9 -  NFI 1869-1899'!G15</f>
        <v>-6.6464344941956882E-2</v>
      </c>
      <c r="H79" s="141">
        <f>'S3 - Davis 2004 IIP'!C88</f>
        <v>239.76250035346268</v>
      </c>
      <c r="I79" s="141">
        <f>(E79-F79-G79)/H79</f>
        <v>1.4905893202533041E-2</v>
      </c>
      <c r="J79" s="28">
        <f t="shared" si="11"/>
        <v>3.6020442919940137</v>
      </c>
      <c r="K79" s="28">
        <f>'E4-Benchmarks, 1869-1909'!N15</f>
        <v>5.7642070826916836</v>
      </c>
      <c r="L79" s="28">
        <f t="shared" si="12"/>
        <v>5.7642070826916845</v>
      </c>
    </row>
    <row r="80" spans="1:12" ht="17.5" customHeight="1">
      <c r="A80" s="8" t="s">
        <v>552</v>
      </c>
      <c r="B80" s="6"/>
      <c r="C80" s="6"/>
      <c r="D80" s="6"/>
      <c r="E80" s="6"/>
      <c r="F80" s="6"/>
      <c r="G80" s="6"/>
      <c r="H80" s="141"/>
      <c r="I80" s="6"/>
      <c r="J80" s="6"/>
      <c r="K80" s="6"/>
      <c r="L80" s="6"/>
    </row>
    <row r="81" spans="1:12" ht="13.75" customHeight="1">
      <c r="A81" s="6"/>
      <c r="B81" s="6"/>
      <c r="C81" s="6"/>
      <c r="D81" s="6"/>
      <c r="E81" s="6"/>
      <c r="F81" s="6"/>
      <c r="G81" s="6"/>
      <c r="H81" s="6"/>
      <c r="I81" s="6"/>
      <c r="J81" s="6"/>
      <c r="K81" s="6"/>
      <c r="L81" s="6"/>
    </row>
    <row r="82" spans="1:12" ht="13.75" customHeight="1">
      <c r="A82" s="6"/>
      <c r="B82" s="6"/>
      <c r="C82" s="6"/>
      <c r="D82" s="6"/>
      <c r="E82" s="6"/>
      <c r="F82" s="6"/>
      <c r="G82" s="6"/>
      <c r="H82" s="6"/>
      <c r="I82" s="6"/>
      <c r="J82" s="6"/>
      <c r="K82" s="6"/>
      <c r="L82" s="6"/>
    </row>
    <row r="83" spans="1:12" ht="13.75" customHeight="1">
      <c r="A83" s="237" t="s">
        <v>506</v>
      </c>
      <c r="B83" s="238"/>
      <c r="C83" s="238"/>
      <c r="D83" s="238"/>
      <c r="E83" s="238"/>
      <c r="F83" s="238"/>
      <c r="G83" s="238"/>
      <c r="H83" s="6"/>
      <c r="I83" s="6"/>
      <c r="J83" s="6"/>
      <c r="K83" s="6"/>
      <c r="L83" s="6"/>
    </row>
    <row r="84" spans="1:12" ht="13.75" customHeight="1">
      <c r="A84" s="238"/>
      <c r="B84" s="238"/>
      <c r="C84" s="238"/>
      <c r="D84" s="238"/>
      <c r="E84" s="238"/>
      <c r="F84" s="238"/>
      <c r="G84" s="238"/>
      <c r="H84" s="6"/>
      <c r="I84" s="6"/>
      <c r="J84" s="6"/>
      <c r="K84" s="6"/>
      <c r="L84" s="6"/>
    </row>
    <row r="85" spans="1:12" ht="36" customHeight="1">
      <c r="A85" s="238"/>
      <c r="B85" s="238"/>
      <c r="C85" s="238"/>
      <c r="D85" s="238"/>
      <c r="E85" s="238"/>
      <c r="F85" s="238"/>
      <c r="G85" s="238"/>
      <c r="H85" s="6"/>
      <c r="I85" s="6"/>
      <c r="J85" s="6"/>
      <c r="K85" s="6"/>
      <c r="L85" s="6"/>
    </row>
  </sheetData>
  <mergeCells count="4">
    <mergeCell ref="B7:D7"/>
    <mergeCell ref="E7:J7"/>
    <mergeCell ref="K7:L7"/>
    <mergeCell ref="A83:G85"/>
  </mergeCells>
  <pageMargins left="0.75" right="0.75" top="1" bottom="1" header="0.5" footer="0.5"/>
  <pageSetup orientation="landscape"/>
  <headerFooter>
    <oddFooter>&amp;C&amp;"Helvetica Neue,Regular"&amp;12&amp;K000000&amp;P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54"/>
  <sheetViews>
    <sheetView showGridLines="0" workbookViewId="0"/>
  </sheetViews>
  <sheetFormatPr baseColWidth="10" defaultColWidth="9.1640625" defaultRowHeight="16" customHeight="1"/>
  <cols>
    <col min="1" max="1" width="9.5" style="4" customWidth="1"/>
    <col min="2" max="3" width="14.5" style="4" customWidth="1"/>
    <col min="4" max="4" width="15.6640625" style="4" customWidth="1"/>
    <col min="5" max="5" width="12" style="4" customWidth="1"/>
    <col min="6" max="8" width="12.83203125" style="4" customWidth="1"/>
    <col min="9" max="9" width="12" style="4" customWidth="1"/>
    <col min="10" max="10" width="16" style="4" customWidth="1"/>
    <col min="11" max="11" width="10.1640625" style="4" customWidth="1"/>
    <col min="12" max="13" width="14.5" style="4" customWidth="1"/>
    <col min="14" max="14" width="9.1640625" style="4" customWidth="1"/>
    <col min="15" max="16384" width="9.1640625" style="4"/>
  </cols>
  <sheetData>
    <row r="1" spans="1:13" ht="17.5" customHeight="1">
      <c r="A1" s="8" t="s">
        <v>562</v>
      </c>
      <c r="B1" s="6"/>
      <c r="C1" s="6"/>
      <c r="D1" s="6"/>
      <c r="E1" s="6"/>
      <c r="F1" s="6"/>
      <c r="G1" s="6"/>
      <c r="H1" s="6"/>
      <c r="I1" s="6"/>
      <c r="J1" s="6"/>
      <c r="K1" s="6"/>
      <c r="L1" s="6"/>
      <c r="M1" s="6"/>
    </row>
    <row r="2" spans="1:13" ht="18" customHeight="1">
      <c r="A2" s="8" t="s">
        <v>535</v>
      </c>
      <c r="B2" s="6"/>
      <c r="C2" s="6"/>
      <c r="D2" s="6"/>
      <c r="E2" s="6"/>
      <c r="F2" s="6"/>
      <c r="G2" s="6"/>
      <c r="H2" s="6"/>
      <c r="I2" s="6"/>
      <c r="J2" s="6"/>
      <c r="K2" s="6"/>
      <c r="L2" s="6"/>
      <c r="M2" s="6"/>
    </row>
    <row r="3" spans="1:13" ht="17.5" customHeight="1">
      <c r="A3" s="8" t="s">
        <v>563</v>
      </c>
      <c r="B3" s="6"/>
      <c r="C3" s="6"/>
      <c r="D3" s="6"/>
      <c r="E3" s="6"/>
      <c r="F3" s="6"/>
      <c r="G3" s="6"/>
      <c r="H3" s="6"/>
      <c r="I3" s="6"/>
      <c r="J3" s="6"/>
      <c r="K3" s="6"/>
      <c r="L3" s="6"/>
      <c r="M3" s="6"/>
    </row>
    <row r="4" spans="1:13" ht="17.5" customHeight="1">
      <c r="A4" s="8" t="s">
        <v>537</v>
      </c>
      <c r="B4" s="6"/>
      <c r="C4" s="6"/>
      <c r="D4" s="6"/>
      <c r="E4" s="6"/>
      <c r="F4" s="6"/>
      <c r="G4" s="6"/>
      <c r="H4" s="6"/>
      <c r="I4" s="6"/>
      <c r="J4" s="6"/>
      <c r="K4" s="6"/>
      <c r="L4" s="6"/>
      <c r="M4" s="6"/>
    </row>
    <row r="5" spans="1:13" ht="13.75" customHeight="1">
      <c r="A5" s="6"/>
      <c r="B5" s="6"/>
      <c r="C5" s="6"/>
      <c r="D5" s="6"/>
      <c r="E5" s="6"/>
      <c r="F5" s="6"/>
      <c r="G5" s="6"/>
      <c r="H5" s="6"/>
      <c r="I5" s="6"/>
      <c r="J5" s="6"/>
      <c r="K5" s="6"/>
      <c r="L5" s="6"/>
      <c r="M5" s="6"/>
    </row>
    <row r="6" spans="1:13" ht="17.5" customHeight="1">
      <c r="A6" s="6"/>
      <c r="B6" s="235" t="s">
        <v>538</v>
      </c>
      <c r="C6" s="236"/>
      <c r="D6" s="236"/>
      <c r="E6" s="229" t="s">
        <v>229</v>
      </c>
      <c r="F6" s="230"/>
      <c r="G6" s="230"/>
      <c r="H6" s="230"/>
      <c r="I6" s="230"/>
      <c r="J6" s="230"/>
      <c r="K6" s="230"/>
      <c r="L6" s="229" t="s">
        <v>564</v>
      </c>
      <c r="M6" s="230"/>
    </row>
    <row r="7" spans="1:13" ht="153" customHeight="1">
      <c r="A7" s="8" t="s">
        <v>95</v>
      </c>
      <c r="B7" s="12" t="s">
        <v>565</v>
      </c>
      <c r="C7" s="12" t="s">
        <v>542</v>
      </c>
      <c r="D7" s="12" t="s">
        <v>557</v>
      </c>
      <c r="E7" s="12" t="s">
        <v>546</v>
      </c>
      <c r="F7" s="12" t="s">
        <v>500</v>
      </c>
      <c r="G7" s="12" t="s">
        <v>497</v>
      </c>
      <c r="H7" s="12" t="s">
        <v>566</v>
      </c>
      <c r="I7" s="12" t="s">
        <v>547</v>
      </c>
      <c r="J7" s="12" t="s">
        <v>567</v>
      </c>
      <c r="K7" s="12" t="s">
        <v>560</v>
      </c>
      <c r="L7" s="12" t="s">
        <v>550</v>
      </c>
      <c r="M7" s="12" t="s">
        <v>551</v>
      </c>
    </row>
    <row r="8" spans="1:13" ht="17.5" customHeight="1">
      <c r="A8" s="22">
        <v>1869</v>
      </c>
      <c r="B8" s="141">
        <f>('S22-Gallman agriculture'!$E$14+'S18-Gallman-Weiss Tables'!$E$28)/1000</f>
        <v>2.1621627906976748</v>
      </c>
      <c r="C8" s="141"/>
      <c r="D8" s="141">
        <f>B8</f>
        <v>2.1621627906976748</v>
      </c>
      <c r="E8" s="28">
        <f>L8-B8</f>
        <v>3.6020442919940088</v>
      </c>
      <c r="F8" s="141">
        <v>0.33617993422811598</v>
      </c>
      <c r="G8" s="141">
        <f>'S9 -  NFI 1869-1899'!G15</f>
        <v>-6.6464344941956882E-2</v>
      </c>
      <c r="H8" s="141">
        <f>'S21-Olney durables'!$G9/1000</f>
        <v>0.35074064837905239</v>
      </c>
      <c r="I8" s="141">
        <f>'S3 - Davis 2004 IIP'!B88</f>
        <v>237.47241600475101</v>
      </c>
      <c r="J8" s="141">
        <f>(E8-F8-G8-H8)/I8</f>
        <v>1.2555513202296078E-2</v>
      </c>
      <c r="K8" s="141">
        <f t="shared" ref="K8:K48" si="0">(J8*I8)+F8+G8+H8</f>
        <v>3.6020442919940088</v>
      </c>
      <c r="L8" s="28">
        <f>'E4-Benchmarks, 1869-1909'!N15</f>
        <v>5.7642070826916836</v>
      </c>
      <c r="M8" s="141">
        <f t="shared" ref="M8:M48" si="1">K8+D8</f>
        <v>5.7642070826916836</v>
      </c>
    </row>
    <row r="9" spans="1:13" ht="17.5" customHeight="1">
      <c r="A9" s="22">
        <v>1870</v>
      </c>
      <c r="B9" s="141"/>
      <c r="C9" s="141"/>
      <c r="D9" s="141">
        <f t="shared" ref="D9:D17" si="2">D8*(1+$C$18)</f>
        <v>2.249449317088887</v>
      </c>
      <c r="E9" s="28"/>
      <c r="F9" s="141">
        <v>0.32957922479183999</v>
      </c>
      <c r="G9" s="141">
        <f>'S9 -  NFI 1869-1899'!G16</f>
        <v>-8.203125E-2</v>
      </c>
      <c r="H9" s="141">
        <f>'S21-Olney durables'!$G10/1000</f>
        <v>0.34159298562105378</v>
      </c>
      <c r="I9" s="141">
        <f>'S3 - Davis 2004 IIP'!B89</f>
        <v>242.968618441659</v>
      </c>
      <c r="J9" s="141">
        <f>0.9*$J$8+0.1*$J$18</f>
        <v>1.2749355912655136E-2</v>
      </c>
      <c r="K9" s="141">
        <f t="shared" si="0"/>
        <v>3.6868343525317089</v>
      </c>
      <c r="L9" s="141"/>
      <c r="M9" s="141">
        <f t="shared" si="1"/>
        <v>5.9362836696205958</v>
      </c>
    </row>
    <row r="10" spans="1:13" ht="17.5" customHeight="1">
      <c r="A10" s="22">
        <v>1871</v>
      </c>
      <c r="B10" s="141"/>
      <c r="C10" s="141"/>
      <c r="D10" s="141">
        <f t="shared" si="2"/>
        <v>2.3402596011371188</v>
      </c>
      <c r="E10" s="28"/>
      <c r="F10" s="141">
        <v>0.32492591199618498</v>
      </c>
      <c r="G10" s="141">
        <f>'S9 -  NFI 1869-1899'!G17</f>
        <v>-8.7990990259740262E-2</v>
      </c>
      <c r="H10" s="141">
        <f>'S21-Olney durables'!$G11/1000</f>
        <v>0.33725988220937025</v>
      </c>
      <c r="I10" s="141">
        <f>'S3 - Davis 2004 IIP'!B90</f>
        <v>255.28671203809401</v>
      </c>
      <c r="J10" s="141">
        <f>0.8*$J$8+0.2*$J$18</f>
        <v>1.2943198623014194E-2</v>
      </c>
      <c r="K10" s="141">
        <f t="shared" si="0"/>
        <v>3.8784214236710945</v>
      </c>
      <c r="L10" s="141"/>
      <c r="M10" s="141">
        <f t="shared" si="1"/>
        <v>6.2186810248082134</v>
      </c>
    </row>
    <row r="11" spans="1:13" ht="17.5" customHeight="1">
      <c r="A11" s="22">
        <v>1872</v>
      </c>
      <c r="B11" s="141"/>
      <c r="C11" s="141"/>
      <c r="D11" s="141">
        <f t="shared" si="2"/>
        <v>2.4347358969626658</v>
      </c>
      <c r="E11" s="28"/>
      <c r="F11" s="141">
        <v>0.31225754225257402</v>
      </c>
      <c r="G11" s="141">
        <f>'S9 -  NFI 1869-1899'!G18</f>
        <v>-8.6014156378600826E-2</v>
      </c>
      <c r="H11" s="141">
        <f>'S21-Olney durables'!$G12/1000</f>
        <v>0.45569804212872078</v>
      </c>
      <c r="I11" s="141">
        <f>'S3 - Davis 2004 IIP'!B91</f>
        <v>275.73831257657002</v>
      </c>
      <c r="J11" s="141">
        <f>0.7*$J$8+0.3*$J$18</f>
        <v>1.3137041333373248E-2</v>
      </c>
      <c r="K11" s="141">
        <f t="shared" si="0"/>
        <v>4.3043270375156872</v>
      </c>
      <c r="L11" s="141"/>
      <c r="M11" s="141">
        <f t="shared" si="1"/>
        <v>6.739062934478353</v>
      </c>
    </row>
    <row r="12" spans="1:13" ht="17.5" customHeight="1">
      <c r="A12" s="22">
        <v>1873</v>
      </c>
      <c r="B12" s="141"/>
      <c r="C12" s="141"/>
      <c r="D12" s="141">
        <f t="shared" si="2"/>
        <v>2.5330262014856149</v>
      </c>
      <c r="E12" s="28"/>
      <c r="F12" s="141">
        <v>0.36925571968085202</v>
      </c>
      <c r="G12" s="141">
        <f>'S9 -  NFI 1869-1899'!G19</f>
        <v>-0.10012710280373831</v>
      </c>
      <c r="H12" s="141">
        <f>'S21-Olney durables'!$G13/1000</f>
        <v>0.48362248633734822</v>
      </c>
      <c r="I12" s="141">
        <f>'S3 - Davis 2004 IIP'!B92</f>
        <v>302.16695309635003</v>
      </c>
      <c r="J12" s="141">
        <f>0.6*$J$8+0.4*$J$18</f>
        <v>1.3330884043732307E-2</v>
      </c>
      <c r="K12" s="141">
        <f t="shared" si="0"/>
        <v>4.780903716789803</v>
      </c>
      <c r="L12" s="141"/>
      <c r="M12" s="141">
        <f t="shared" si="1"/>
        <v>7.3139299182754183</v>
      </c>
    </row>
    <row r="13" spans="1:13" ht="17.5" customHeight="1">
      <c r="A13" s="22">
        <v>1874</v>
      </c>
      <c r="B13" s="141"/>
      <c r="C13" s="141"/>
      <c r="D13" s="141">
        <f t="shared" si="2"/>
        <v>2.6352844862627123</v>
      </c>
      <c r="E13" s="28"/>
      <c r="F13" s="141">
        <v>0.40872642511524299</v>
      </c>
      <c r="G13" s="141">
        <f>'S9 -  NFI 1869-1899'!G20</f>
        <v>-9.5753127606338598E-2</v>
      </c>
      <c r="H13" s="141">
        <f>'S21-Olney durables'!$G14/1000</f>
        <v>0.43138451742982975</v>
      </c>
      <c r="I13" s="141">
        <f>'S3 - Davis 2004 IIP'!B93</f>
        <v>300.732434838416</v>
      </c>
      <c r="J13" s="141">
        <f>0.5*$J$8+0.5*$J$18</f>
        <v>1.3524726754091363E-2</v>
      </c>
      <c r="K13" s="141">
        <f t="shared" si="0"/>
        <v>4.8116818222208968</v>
      </c>
      <c r="L13" s="141"/>
      <c r="M13" s="141">
        <f t="shared" si="1"/>
        <v>7.4469663084836091</v>
      </c>
    </row>
    <row r="14" spans="1:13" ht="17.5" customHeight="1">
      <c r="A14" s="22">
        <v>1875</v>
      </c>
      <c r="B14" s="141"/>
      <c r="C14" s="141"/>
      <c r="D14" s="141">
        <f t="shared" si="2"/>
        <v>2.7416709386834848</v>
      </c>
      <c r="E14" s="28"/>
      <c r="F14" s="141">
        <v>0.37203922510972598</v>
      </c>
      <c r="G14" s="141">
        <f>'S9 -  NFI 1869-1899'!G21</f>
        <v>-8.6991235059760946E-2</v>
      </c>
      <c r="H14" s="141">
        <f>'S21-Olney durables'!$G15/1000</f>
        <v>0.50865819493818654</v>
      </c>
      <c r="I14" s="141">
        <f>'S3 - Davis 2004 IIP'!B94</f>
        <v>284.16328342919002</v>
      </c>
      <c r="J14" s="141">
        <f>0.4*$J$8+0.6*$J$18</f>
        <v>1.3718569464450419E-2</v>
      </c>
      <c r="K14" s="141">
        <f t="shared" si="0"/>
        <v>4.6920199279578068</v>
      </c>
      <c r="L14" s="141"/>
      <c r="M14" s="141">
        <f t="shared" si="1"/>
        <v>7.4336908666412915</v>
      </c>
    </row>
    <row r="15" spans="1:13" ht="17.5" customHeight="1">
      <c r="A15" s="22">
        <v>1876</v>
      </c>
      <c r="B15" s="141"/>
      <c r="C15" s="141"/>
      <c r="D15" s="141">
        <f t="shared" si="2"/>
        <v>2.8523522129034506</v>
      </c>
      <c r="E15" s="28"/>
      <c r="F15" s="141">
        <v>0.36575911582628901</v>
      </c>
      <c r="G15" s="141">
        <f>'S9 -  NFI 1869-1899'!G22</f>
        <v>-8.2647202797202793E-2</v>
      </c>
      <c r="H15" s="141">
        <f>'S21-Olney durables'!$G16/1000</f>
        <v>0.51563930599034336</v>
      </c>
      <c r="I15" s="141">
        <f>'S3 - Davis 2004 IIP'!B95</f>
        <v>294.00497631640502</v>
      </c>
      <c r="J15" s="141">
        <f>0.3*$J$8+0.7*$J$18</f>
        <v>1.3912412174809477E-2</v>
      </c>
      <c r="K15" s="141">
        <f t="shared" si="0"/>
        <v>4.8890696309783541</v>
      </c>
      <c r="L15" s="141"/>
      <c r="M15" s="141">
        <f t="shared" si="1"/>
        <v>7.7414218438818043</v>
      </c>
    </row>
    <row r="16" spans="1:13" ht="17.5" customHeight="1">
      <c r="A16" s="22">
        <v>1877</v>
      </c>
      <c r="B16" s="141"/>
      <c r="C16" s="141"/>
      <c r="D16" s="141">
        <f t="shared" si="2"/>
        <v>2.9675016909075067</v>
      </c>
      <c r="E16" s="28"/>
      <c r="F16" s="141">
        <v>0.32745109736834599</v>
      </c>
      <c r="G16" s="141">
        <f>'S9 -  NFI 1869-1899'!G23</f>
        <v>-8.4655072463768105E-2</v>
      </c>
      <c r="H16" s="141">
        <f>'S21-Olney durables'!$G17/1000</f>
        <v>0.71616570276436575</v>
      </c>
      <c r="I16" s="141">
        <f>'S3 - Davis 2004 IIP'!B96</f>
        <v>297.75085498346402</v>
      </c>
      <c r="J16" s="141">
        <f>0.2*$J$8+0.8*$J$18</f>
        <v>1.4106254885168536E-2</v>
      </c>
      <c r="K16" s="141">
        <f t="shared" si="0"/>
        <v>5.159111180342542</v>
      </c>
      <c r="L16" s="141"/>
      <c r="M16" s="141">
        <f t="shared" si="1"/>
        <v>8.1266128712500496</v>
      </c>
    </row>
    <row r="17" spans="1:13" ht="17.5" customHeight="1">
      <c r="A17" s="22">
        <v>1878</v>
      </c>
      <c r="B17" s="141"/>
      <c r="C17" s="141"/>
      <c r="D17" s="141">
        <f t="shared" si="2"/>
        <v>3.0872997541124447</v>
      </c>
      <c r="E17" s="28"/>
      <c r="F17" s="141">
        <v>0.32047637543785501</v>
      </c>
      <c r="G17" s="141">
        <f>'S9 -  NFI 1869-1899'!G24</f>
        <v>-7.7998129092609905E-2</v>
      </c>
      <c r="H17" s="141">
        <f>'S21-Olney durables'!$G18/1000</f>
        <v>0.56787727489786177</v>
      </c>
      <c r="I17" s="141">
        <f>'S3 - Davis 2004 IIP'!B97</f>
        <v>313.99048697094599</v>
      </c>
      <c r="J17" s="141">
        <f>0.1*$J$8+0.9*$J$18</f>
        <v>1.430009759552759E-2</v>
      </c>
      <c r="K17" s="141">
        <f t="shared" si="0"/>
        <v>5.3004501289948696</v>
      </c>
      <c r="L17" s="141"/>
      <c r="M17" s="141">
        <f t="shared" si="1"/>
        <v>8.3877498831073147</v>
      </c>
    </row>
    <row r="18" spans="1:13" ht="17.5" customHeight="1">
      <c r="A18" s="22">
        <v>1879</v>
      </c>
      <c r="B18" s="141">
        <f>('S22-Gallman agriculture'!$E$15+'S18-Gallman-Weiss Tables'!$F$28)/1000</f>
        <v>3.2119340659340661</v>
      </c>
      <c r="C18" s="141">
        <f>(B18/B8)^(1/($A18-$A8))-1</f>
        <v>4.0370006720468643E-2</v>
      </c>
      <c r="D18" s="141">
        <f>B18</f>
        <v>3.2119340659340661</v>
      </c>
      <c r="E18" s="28">
        <f>L18-B18</f>
        <v>6.1534444138034363</v>
      </c>
      <c r="F18" s="141">
        <v>0.38506869889211798</v>
      </c>
      <c r="G18" s="141">
        <f>'S9 -  NFI 1869-1899'!G25</f>
        <v>-7.4533333333333326E-2</v>
      </c>
      <c r="H18" s="141">
        <f>'S21-Olney durables'!$G19/1000</f>
        <v>0.67764922799384519</v>
      </c>
      <c r="I18" s="141">
        <f>'S3 - Davis 2004 IIP'!B98</f>
        <v>356.37374732066201</v>
      </c>
      <c r="J18" s="141">
        <f>(E18-F18-G18-H18)/I18</f>
        <v>1.4493940305886648E-2</v>
      </c>
      <c r="K18" s="141">
        <f t="shared" si="0"/>
        <v>6.1534444138034363</v>
      </c>
      <c r="L18" s="28">
        <f>'E4-Benchmarks, 1869-1909'!N16</f>
        <v>9.3653784797375028</v>
      </c>
      <c r="M18" s="141">
        <f t="shared" si="1"/>
        <v>9.3653784797375028</v>
      </c>
    </row>
    <row r="19" spans="1:13" ht="17.5" customHeight="1">
      <c r="A19" s="22">
        <v>1880</v>
      </c>
      <c r="B19" s="141"/>
      <c r="C19" s="141"/>
      <c r="D19" s="141">
        <f t="shared" ref="D19:D27" si="3">D18*(1+$C$28)</f>
        <v>3.3252438409793972</v>
      </c>
      <c r="E19" s="28"/>
      <c r="F19" s="141">
        <v>0.40055336496425997</v>
      </c>
      <c r="G19" s="141">
        <f>'S9 -  NFI 1869-1899'!G26</f>
        <v>-7.2340404040404052E-2</v>
      </c>
      <c r="H19" s="141">
        <f>'S21-Olney durables'!$G20/1000</f>
        <v>0.71568424682973431</v>
      </c>
      <c r="I19" s="141">
        <f>'S3 - Davis 2004 IIP'!B99</f>
        <v>400.85049840241902</v>
      </c>
      <c r="J19" s="141">
        <f>0.9*$J$18+0.1*$J$28</f>
        <v>1.4430025980324463E-2</v>
      </c>
      <c r="K19" s="141">
        <f t="shared" si="0"/>
        <v>6.8281803139265058</v>
      </c>
      <c r="L19" s="141"/>
      <c r="M19" s="141">
        <f t="shared" si="1"/>
        <v>10.153424154905903</v>
      </c>
    </row>
    <row r="20" spans="1:13" ht="17.5" customHeight="1">
      <c r="A20" s="22">
        <v>1881</v>
      </c>
      <c r="B20" s="141"/>
      <c r="C20" s="141"/>
      <c r="D20" s="141">
        <f t="shared" si="3"/>
        <v>3.4425509288142391</v>
      </c>
      <c r="E20" s="28"/>
      <c r="F20" s="141">
        <v>0.41633777764841701</v>
      </c>
      <c r="G20" s="141">
        <f>'S9 -  NFI 1869-1899'!G27</f>
        <v>-7.4915217391304356E-2</v>
      </c>
      <c r="H20" s="141">
        <f>'S21-Olney durables'!$G21/1000</f>
        <v>0.78525462938398682</v>
      </c>
      <c r="I20" s="141">
        <f>'S3 - Davis 2004 IIP'!B100</f>
        <v>478.12174286861102</v>
      </c>
      <c r="J20" s="141">
        <f>0.8*$J$18+0.2*$J$28</f>
        <v>1.4366111654762282E-2</v>
      </c>
      <c r="K20" s="141">
        <f t="shared" si="0"/>
        <v>7.9954275322611075</v>
      </c>
      <c r="L20" s="141"/>
      <c r="M20" s="141">
        <f t="shared" si="1"/>
        <v>11.437978461075346</v>
      </c>
    </row>
    <row r="21" spans="1:13" ht="17.5" customHeight="1">
      <c r="A21" s="22">
        <v>1882</v>
      </c>
      <c r="B21" s="141"/>
      <c r="C21" s="141"/>
      <c r="D21" s="141">
        <f t="shared" si="3"/>
        <v>3.5639963456000903</v>
      </c>
      <c r="E21" s="28"/>
      <c r="F21" s="141">
        <v>0.43777983859178099</v>
      </c>
      <c r="G21" s="141">
        <f>'S9 -  NFI 1869-1899'!G28</f>
        <v>-6.6457185185185202E-2</v>
      </c>
      <c r="H21" s="141">
        <f>'S21-Olney durables'!$G22/1000</f>
        <v>0.83869623812808425</v>
      </c>
      <c r="I21" s="141">
        <f>'S3 - Davis 2004 IIP'!B101</f>
        <v>509.45805778983498</v>
      </c>
      <c r="J21" s="141">
        <f>0.7*$J$18+0.3*$J$28</f>
        <v>1.4302197329200095E-2</v>
      </c>
      <c r="K21" s="141">
        <f t="shared" si="0"/>
        <v>8.4963885649959252</v>
      </c>
      <c r="L21" s="141"/>
      <c r="M21" s="141">
        <f t="shared" si="1"/>
        <v>12.060384910596015</v>
      </c>
    </row>
    <row r="22" spans="1:13" ht="17.5" customHeight="1">
      <c r="A22" s="22">
        <v>1883</v>
      </c>
      <c r="B22" s="141"/>
      <c r="C22" s="141"/>
      <c r="D22" s="141">
        <f t="shared" si="3"/>
        <v>3.6897260822299387</v>
      </c>
      <c r="E22" s="28"/>
      <c r="F22" s="141">
        <v>0.492332238815059</v>
      </c>
      <c r="G22" s="141">
        <f>'S9 -  NFI 1869-1899'!G29</f>
        <v>-7.4178464106844727E-2</v>
      </c>
      <c r="H22" s="141">
        <f>'S21-Olney durables'!$G23/1000</f>
        <v>0.84351079747439928</v>
      </c>
      <c r="I22" s="141">
        <f>'S3 - Davis 2004 IIP'!B102</f>
        <v>523.802806302406</v>
      </c>
      <c r="J22" s="141">
        <f>0.6*$J$18+0.4*$J$28</f>
        <v>1.423828300363791E-2</v>
      </c>
      <c r="K22" s="141">
        <f t="shared" si="0"/>
        <v>8.719717166416002</v>
      </c>
      <c r="L22" s="141"/>
      <c r="M22" s="141">
        <f t="shared" si="1"/>
        <v>12.409443248645941</v>
      </c>
    </row>
    <row r="23" spans="1:13" ht="17.5" customHeight="1">
      <c r="A23" s="22">
        <v>1884</v>
      </c>
      <c r="B23" s="141"/>
      <c r="C23" s="141"/>
      <c r="D23" s="141">
        <f t="shared" si="3"/>
        <v>3.8198912798255442</v>
      </c>
      <c r="E23" s="28"/>
      <c r="F23" s="141">
        <v>0.465163445324693</v>
      </c>
      <c r="G23" s="141">
        <f>'S9 -  NFI 1869-1899'!G30</f>
        <v>-6.8424558452481063E-2</v>
      </c>
      <c r="H23" s="141">
        <f>'S21-Olney durables'!$G24/1000</f>
        <v>0.84038133389929448</v>
      </c>
      <c r="I23" s="141">
        <f>'S3 - Davis 2004 IIP'!B103</f>
        <v>505.25059958552498</v>
      </c>
      <c r="J23" s="141">
        <f>0.5*$J$18+0.5*$J$28</f>
        <v>1.4174368678075727E-2</v>
      </c>
      <c r="K23" s="141">
        <f t="shared" si="0"/>
        <v>8.3987284941155522</v>
      </c>
      <c r="L23" s="141"/>
      <c r="M23" s="141">
        <f t="shared" si="1"/>
        <v>12.218619773941096</v>
      </c>
    </row>
    <row r="24" spans="1:13" ht="17.5" customHeight="1">
      <c r="A24" s="22">
        <v>1885</v>
      </c>
      <c r="B24" s="141"/>
      <c r="C24" s="141"/>
      <c r="D24" s="141">
        <f t="shared" si="3"/>
        <v>3.9546484114258722</v>
      </c>
      <c r="E24" s="28"/>
      <c r="F24" s="141">
        <v>0.52268916987503</v>
      </c>
      <c r="G24" s="141">
        <f>'S9 -  NFI 1869-1899'!G31</f>
        <v>-6.3595327942497767E-2</v>
      </c>
      <c r="H24" s="141">
        <f>'S21-Olney durables'!$G25/1000</f>
        <v>0.93498742505438559</v>
      </c>
      <c r="I24" s="141">
        <f>'S3 - Davis 2004 IIP'!B104</f>
        <v>490.72105888833801</v>
      </c>
      <c r="J24" s="141">
        <f>0.4*$J$18+0.6*$J$28</f>
        <v>1.4110454352513544E-2</v>
      </c>
      <c r="K24" s="141">
        <f t="shared" si="0"/>
        <v>8.318378368247922</v>
      </c>
      <c r="L24" s="141"/>
      <c r="M24" s="141">
        <f t="shared" si="1"/>
        <v>12.273026779673794</v>
      </c>
    </row>
    <row r="25" spans="1:13" ht="17.5" customHeight="1">
      <c r="A25" s="22">
        <v>1886</v>
      </c>
      <c r="B25" s="141"/>
      <c r="C25" s="141"/>
      <c r="D25" s="141">
        <f t="shared" si="3"/>
        <v>4.0941594700850814</v>
      </c>
      <c r="E25" s="28"/>
      <c r="F25" s="141">
        <v>0.49432124576399999</v>
      </c>
      <c r="G25" s="141">
        <f>'S9 -  NFI 1869-1899'!G32</f>
        <v>-7.622275862068964E-2</v>
      </c>
      <c r="H25" s="141">
        <f>'S21-Olney durables'!$G26/1000</f>
        <v>1.0464444739215792</v>
      </c>
      <c r="I25" s="141">
        <f>'S3 - Davis 2004 IIP'!B105</f>
        <v>550.47930098923405</v>
      </c>
      <c r="J25" s="141">
        <f>0.3*$J$18+0.7*$J$28</f>
        <v>1.4046540026951358E-2</v>
      </c>
      <c r="K25" s="141">
        <f t="shared" si="0"/>
        <v>9.1968724964183686</v>
      </c>
      <c r="L25" s="141"/>
      <c r="M25" s="141">
        <f t="shared" si="1"/>
        <v>13.29103196650345</v>
      </c>
    </row>
    <row r="26" spans="1:13" ht="17.5" customHeight="1">
      <c r="A26" s="22">
        <v>1887</v>
      </c>
      <c r="B26" s="141"/>
      <c r="C26" s="141"/>
      <c r="D26" s="141">
        <f t="shared" si="3"/>
        <v>4.238592163606187</v>
      </c>
      <c r="E26" s="28"/>
      <c r="F26" s="141">
        <v>0.56366597844891797</v>
      </c>
      <c r="G26" s="141">
        <f>'S9 -  NFI 1869-1899'!G33</f>
        <v>-8.7536294896030251E-2</v>
      </c>
      <c r="H26" s="141">
        <f>'S21-Olney durables'!$G27/1000</f>
        <v>1.1078301055870963</v>
      </c>
      <c r="I26" s="141">
        <f>'S3 - Davis 2004 IIP'!B106</f>
        <v>604.66816066306899</v>
      </c>
      <c r="J26" s="141">
        <f>0.2*$J$18+0.8*$J$28</f>
        <v>1.3982625701389176E-2</v>
      </c>
      <c r="K26" s="141">
        <f t="shared" si="0"/>
        <v>10.038808353239133</v>
      </c>
      <c r="L26" s="141"/>
      <c r="M26" s="141">
        <f t="shared" si="1"/>
        <v>14.27740051684532</v>
      </c>
    </row>
    <row r="27" spans="1:13" ht="17.5" customHeight="1">
      <c r="A27" s="22">
        <v>1888</v>
      </c>
      <c r="B27" s="141"/>
      <c r="C27" s="141"/>
      <c r="D27" s="141">
        <f t="shared" si="3"/>
        <v>4.3881201161444814</v>
      </c>
      <c r="E27" s="28"/>
      <c r="F27" s="141">
        <v>0.57288033813828998</v>
      </c>
      <c r="G27" s="141">
        <f>'S9 -  NFI 1869-1899'!G34</f>
        <v>-8.8275644444444468E-2</v>
      </c>
      <c r="H27" s="141">
        <f>'S21-Olney durables'!$G28/1000</f>
        <v>1.1083115615217281</v>
      </c>
      <c r="I27" s="141">
        <f>'S3 - Davis 2004 IIP'!B107</f>
        <v>656.72487972110696</v>
      </c>
      <c r="J27" s="141">
        <f>0.1*$J$18+0.9*$J$28</f>
        <v>1.3918711375826991E-2</v>
      </c>
      <c r="K27" s="141">
        <f t="shared" si="0"/>
        <v>10.733680309378357</v>
      </c>
      <c r="L27" s="141"/>
      <c r="M27" s="141">
        <f t="shared" si="1"/>
        <v>15.121800425522839</v>
      </c>
    </row>
    <row r="28" spans="1:13" ht="17.5" customHeight="1">
      <c r="A28" s="22">
        <v>1889</v>
      </c>
      <c r="B28" s="141">
        <f>('S22-Gallman agriculture'!$E$16+'S18-Gallman-Weiss Tables'!$G$28)/1000</f>
        <v>4.5429230769230768</v>
      </c>
      <c r="C28" s="141">
        <f>(B28/B18)^(1/($A28-$A18))-1</f>
        <v>3.5277740052979345E-2</v>
      </c>
      <c r="D28" s="141">
        <f>B28</f>
        <v>4.5429230769230768</v>
      </c>
      <c r="E28" s="28">
        <f>L28-B28</f>
        <v>11.033309076080055</v>
      </c>
      <c r="F28" s="141">
        <v>0.69222222222222196</v>
      </c>
      <c r="G28" s="141">
        <f>'S9 -  NFI 1869-1899'!G35</f>
        <v>-0.10976610956360258</v>
      </c>
      <c r="H28" s="141">
        <f>'S21-Olney durables'!$G29/1000</f>
        <v>1.0933864275481511</v>
      </c>
      <c r="I28" s="141">
        <f>'S3 - Davis 2004 IIP'!B108</f>
        <v>675.39542455401295</v>
      </c>
      <c r="J28" s="141">
        <f>(E28-F28-G28-H28)/I28</f>
        <v>1.3854797050264806E-2</v>
      </c>
      <c r="K28" s="141">
        <f t="shared" si="0"/>
        <v>11.033309076080055</v>
      </c>
      <c r="L28" s="28">
        <f>'E4-Benchmarks, 1869-1909'!N17</f>
        <v>15.576232153003131</v>
      </c>
      <c r="M28" s="141">
        <f t="shared" si="1"/>
        <v>15.576232153003133</v>
      </c>
    </row>
    <row r="29" spans="1:13" ht="17.5" customHeight="1">
      <c r="A29" s="22">
        <v>1890</v>
      </c>
      <c r="B29" s="141"/>
      <c r="C29" s="141"/>
      <c r="D29" s="141">
        <f t="shared" ref="D29:D37" si="4">D28*(1+$C$38)</f>
        <v>4.6575671134957775</v>
      </c>
      <c r="E29" s="28"/>
      <c r="F29" s="141">
        <v>0.739609359327289</v>
      </c>
      <c r="G29" s="141">
        <f>'S9 -  NFI 1869-1899'!G36</f>
        <v>-0.11293013333333334</v>
      </c>
      <c r="H29" s="141">
        <f>'S21-Olney durables'!$G30/1000</f>
        <v>1.1345509099591446</v>
      </c>
      <c r="I29" s="141">
        <f>'S3 - Davis 2004 IIP'!B109</f>
        <v>780.95476793597902</v>
      </c>
      <c r="J29" s="141">
        <f>0.9*$J$28+0.1*$J$38</f>
        <v>1.366784794376096E-2</v>
      </c>
      <c r="K29" s="141">
        <f t="shared" si="0"/>
        <v>12.435201155057189</v>
      </c>
      <c r="L29" s="141"/>
      <c r="M29" s="141">
        <f t="shared" si="1"/>
        <v>17.092768268552966</v>
      </c>
    </row>
    <row r="30" spans="1:13" ht="17.5" customHeight="1">
      <c r="A30" s="22">
        <v>1891</v>
      </c>
      <c r="B30" s="141"/>
      <c r="C30" s="141"/>
      <c r="D30" s="141">
        <f t="shared" si="4"/>
        <v>4.7751042774446484</v>
      </c>
      <c r="E30" s="28"/>
      <c r="F30" s="141">
        <v>0.76877405653559105</v>
      </c>
      <c r="G30" s="141">
        <f>'S9 -  NFI 1869-1899'!G37</f>
        <v>-0.13895148619957537</v>
      </c>
      <c r="H30" s="141">
        <f>'S21-Olney durables'!$G31/1000</f>
        <v>1.191121982278347</v>
      </c>
      <c r="I30" s="141">
        <f>'S3 - Davis 2004 IIP'!B110</f>
        <v>793.05007463037703</v>
      </c>
      <c r="J30" s="141">
        <f>0.8*$J$28+0.2*$J$38</f>
        <v>1.3480898837257114E-2</v>
      </c>
      <c r="K30" s="141">
        <f t="shared" si="0"/>
        <v>12.511972381585679</v>
      </c>
      <c r="L30" s="141"/>
      <c r="M30" s="141">
        <f t="shared" si="1"/>
        <v>17.287076659030326</v>
      </c>
    </row>
    <row r="31" spans="1:13" ht="17.5" customHeight="1">
      <c r="A31" s="22">
        <v>1892</v>
      </c>
      <c r="B31" s="141"/>
      <c r="C31" s="141"/>
      <c r="D31" s="141">
        <f t="shared" si="4"/>
        <v>4.8956075789869242</v>
      </c>
      <c r="E31" s="28"/>
      <c r="F31" s="141">
        <v>0.79187772328418404</v>
      </c>
      <c r="G31" s="141">
        <f>'S9 -  NFI 1869-1899'!G38</f>
        <v>-0.14351528525296015</v>
      </c>
      <c r="H31" s="141">
        <f>'S21-Olney durables'!$G32/1000</f>
        <v>1.2929499124529102</v>
      </c>
      <c r="I31" s="141">
        <f>'S3 - Davis 2004 IIP'!B111</f>
        <v>852.031054533011</v>
      </c>
      <c r="J31" s="141">
        <f>0.7*$J$28+0.3*$J$38</f>
        <v>1.3293949730753265E-2</v>
      </c>
      <c r="K31" s="141">
        <f t="shared" si="0"/>
        <v>13.268170358486676</v>
      </c>
      <c r="L31" s="141"/>
      <c r="M31" s="141">
        <f t="shared" si="1"/>
        <v>18.163777937473601</v>
      </c>
    </row>
    <row r="32" spans="1:13" ht="17.5" customHeight="1">
      <c r="A32" s="22">
        <v>1893</v>
      </c>
      <c r="B32" s="141"/>
      <c r="C32" s="141"/>
      <c r="D32" s="141">
        <f t="shared" si="4"/>
        <v>5.0191518708068736</v>
      </c>
      <c r="E32" s="28"/>
      <c r="F32" s="141">
        <v>0.82864718968220097</v>
      </c>
      <c r="G32" s="141">
        <f>'S9 -  NFI 1869-1899'!G39</f>
        <v>-0.14204041884816754</v>
      </c>
      <c r="H32" s="141">
        <f>'S21-Olney durables'!$G33/1000</f>
        <v>1.1894368865071365</v>
      </c>
      <c r="I32" s="141">
        <f>'S3 - Davis 2004 IIP'!B112</f>
        <v>778.16323006108098</v>
      </c>
      <c r="J32" s="141">
        <f>0.6*$J$28+0.4*$J$38</f>
        <v>1.310700062424942E-2</v>
      </c>
      <c r="K32" s="141">
        <f t="shared" si="0"/>
        <v>12.075429599519703</v>
      </c>
      <c r="L32" s="141"/>
      <c r="M32" s="141">
        <f t="shared" si="1"/>
        <v>17.094581470326577</v>
      </c>
    </row>
    <row r="33" spans="1:13" ht="17.5" customHeight="1">
      <c r="A33" s="22">
        <v>1894</v>
      </c>
      <c r="B33" s="141"/>
      <c r="C33" s="141"/>
      <c r="D33" s="141">
        <f t="shared" si="4"/>
        <v>5.1458138945518259</v>
      </c>
      <c r="E33" s="28"/>
      <c r="F33" s="141">
        <v>0.85702848318194902</v>
      </c>
      <c r="G33" s="141">
        <f>'S9 -  NFI 1869-1899'!G40</f>
        <v>-0.11395186522262334</v>
      </c>
      <c r="H33" s="141">
        <f>'S21-Olney durables'!$G34/1000</f>
        <v>1.0546292248103148</v>
      </c>
      <c r="I33" s="141">
        <f>'S3 - Davis 2004 IIP'!B113</f>
        <v>721.98860594539497</v>
      </c>
      <c r="J33" s="141">
        <f>0.5*$J$28+0.5*$J$38</f>
        <v>1.292005151774557E-2</v>
      </c>
      <c r="K33" s="141">
        <f t="shared" si="0"/>
        <v>11.12583582680945</v>
      </c>
      <c r="L33" s="141"/>
      <c r="M33" s="141">
        <f t="shared" si="1"/>
        <v>16.271649721361275</v>
      </c>
    </row>
    <row r="34" spans="1:13" ht="17.5" customHeight="1">
      <c r="A34" s="22">
        <v>1895</v>
      </c>
      <c r="B34" s="141"/>
      <c r="C34" s="141"/>
      <c r="D34" s="141">
        <f t="shared" si="4"/>
        <v>5.2756723285015541</v>
      </c>
      <c r="E34" s="28"/>
      <c r="F34" s="141">
        <v>0.88859197958244696</v>
      </c>
      <c r="G34" s="141">
        <f>'S9 -  NFI 1869-1899'!G41</f>
        <v>-0.1155387297633873</v>
      </c>
      <c r="H34" s="141">
        <f>'S21-Olney durables'!$G35/1000</f>
        <v>1.3008939353743303</v>
      </c>
      <c r="I34" s="141">
        <f>'S3 - Davis 2004 IIP'!B114</f>
        <v>846.79418265961397</v>
      </c>
      <c r="J34" s="141">
        <f>0.4*$J$28+0.6*$J$38</f>
        <v>1.2733102411241724E-2</v>
      </c>
      <c r="K34" s="141">
        <f t="shared" si="0"/>
        <v>12.856264234241987</v>
      </c>
      <c r="L34" s="141"/>
      <c r="M34" s="141">
        <f t="shared" si="1"/>
        <v>18.13193656274354</v>
      </c>
    </row>
    <row r="35" spans="1:13" ht="17.5" customHeight="1">
      <c r="A35" s="22">
        <v>1896</v>
      </c>
      <c r="B35" s="141"/>
      <c r="C35" s="141"/>
      <c r="D35" s="141">
        <f t="shared" si="4"/>
        <v>5.4088078364406327</v>
      </c>
      <c r="E35" s="28"/>
      <c r="F35" s="141">
        <v>0.909738425622861</v>
      </c>
      <c r="G35" s="141">
        <f>'S9 -  NFI 1869-1899'!G42</f>
        <v>-0.10954225352112676</v>
      </c>
      <c r="H35" s="141">
        <f>'S21-Olney durables'!$G36/1000</f>
        <v>1.3124488778054866</v>
      </c>
      <c r="I35" s="141">
        <f>'S3 - Davis 2004 IIP'!B115</f>
        <v>820.909147926635</v>
      </c>
      <c r="J35" s="141">
        <f>0.3*$J$28+0.7*$J$38</f>
        <v>1.2546153304737876E-2</v>
      </c>
      <c r="K35" s="141">
        <f t="shared" si="0"/>
        <v>12.411897069056526</v>
      </c>
      <c r="L35" s="141"/>
      <c r="M35" s="141">
        <f t="shared" si="1"/>
        <v>17.820704905497159</v>
      </c>
    </row>
    <row r="36" spans="1:13" ht="17.5" customHeight="1">
      <c r="A36" s="22">
        <v>1897</v>
      </c>
      <c r="B36" s="141"/>
      <c r="C36" s="141"/>
      <c r="D36" s="141">
        <f t="shared" si="4"/>
        <v>5.545303117764127</v>
      </c>
      <c r="E36" s="28"/>
      <c r="F36" s="141">
        <v>0.96143468267839605</v>
      </c>
      <c r="G36" s="141">
        <f>'S9 -  NFI 1869-1899'!G43</f>
        <v>-0.11464109589041094</v>
      </c>
      <c r="H36" s="141">
        <f>'S21-Olney durables'!$G37/1000</f>
        <v>1.3827414442616863</v>
      </c>
      <c r="I36" s="141">
        <f>'S3 - Davis 2004 IIP'!B116</f>
        <v>874.53011540389298</v>
      </c>
      <c r="J36" s="141">
        <f>0.2*$J$28+0.8*$J$38</f>
        <v>1.2359204198234032E-2</v>
      </c>
      <c r="K36" s="141">
        <f t="shared" si="0"/>
        <v>13.038031304831557</v>
      </c>
      <c r="L36" s="141"/>
      <c r="M36" s="141">
        <f t="shared" si="1"/>
        <v>18.583334422595684</v>
      </c>
    </row>
    <row r="37" spans="1:13" ht="17.5" customHeight="1">
      <c r="A37" s="22">
        <v>1898</v>
      </c>
      <c r="B37" s="141"/>
      <c r="C37" s="141"/>
      <c r="D37" s="141">
        <f t="shared" si="4"/>
        <v>5.6852429588477325</v>
      </c>
      <c r="E37" s="28"/>
      <c r="F37" s="141">
        <v>1.1668705624247899</v>
      </c>
      <c r="G37" s="141">
        <f>'S9 -  NFI 1869-1899'!G44</f>
        <v>-0.11470819672131145</v>
      </c>
      <c r="H37" s="141">
        <f>'S21-Olney durables'!$G38/1000</f>
        <v>1.3384474982755878</v>
      </c>
      <c r="I37" s="141">
        <f>'S3 - Davis 2004 IIP'!B117</f>
        <v>1030.2661691896701</v>
      </c>
      <c r="J37" s="141">
        <f>0.1*$J$28+0.9*$J$38</f>
        <v>1.2172255091730182E-2</v>
      </c>
      <c r="K37" s="141">
        <f t="shared" si="0"/>
        <v>14.931272487735379</v>
      </c>
      <c r="L37" s="141"/>
      <c r="M37" s="141">
        <f t="shared" si="1"/>
        <v>20.616515446583112</v>
      </c>
    </row>
    <row r="38" spans="1:13" ht="17.5" customHeight="1">
      <c r="A38" s="22">
        <v>1899</v>
      </c>
      <c r="B38" s="141">
        <f>('S22-Gallman agriculture'!$E$17+'S18-Gallman-Weiss Tables'!$H$28)/1000</f>
        <v>5.8287142857142866</v>
      </c>
      <c r="C38" s="141">
        <f>(B38/B28)^(1/($A38-$A28))-1</f>
        <v>2.5235742413307394E-2</v>
      </c>
      <c r="D38" s="141">
        <f>B38</f>
        <v>5.8287142857142866</v>
      </c>
      <c r="E38" s="28">
        <f>L38-B38</f>
        <v>16.191096649819986</v>
      </c>
      <c r="F38" s="141">
        <v>1.2276291045738299</v>
      </c>
      <c r="G38" s="141">
        <f>'S9 -  NFI 1869-1899'!G45</f>
        <v>-0.10998959810874706</v>
      </c>
      <c r="H38" s="141">
        <f>'S21-Olney durables'!$G39/1000</f>
        <v>1.5331964238340321</v>
      </c>
      <c r="I38" s="141">
        <f>'S3 - Davis 2004 IIP'!B118</f>
        <v>1129.7384260536401</v>
      </c>
      <c r="J38" s="141">
        <f>(E38-F38-G38-H38)/I38</f>
        <v>1.1985305985226336E-2</v>
      </c>
      <c r="K38" s="141">
        <f t="shared" si="0"/>
        <v>16.191096649819986</v>
      </c>
      <c r="L38" s="28">
        <f>'E4-Benchmarks, 1869-1909'!N18</f>
        <v>22.019810935534274</v>
      </c>
      <c r="M38" s="141">
        <f t="shared" si="1"/>
        <v>22.019810935534274</v>
      </c>
    </row>
    <row r="39" spans="1:13" ht="17.5" customHeight="1">
      <c r="A39" s="22">
        <v>1900</v>
      </c>
      <c r="B39" s="141"/>
      <c r="C39" s="141"/>
      <c r="D39" s="141">
        <f t="shared" ref="D39:D48" si="5">D38*(1+$C$48)</f>
        <v>5.8875843000000012</v>
      </c>
      <c r="E39" s="28"/>
      <c r="F39" s="141">
        <v>1.2217717785762401</v>
      </c>
      <c r="G39" s="141">
        <f>'S10 - NFI 1900-1909'!E6</f>
        <v>-9.9000000000000005E-2</v>
      </c>
      <c r="H39" s="141">
        <f>'S21-Olney durables'!$G40/1000</f>
        <v>1.4761438955801989</v>
      </c>
      <c r="I39" s="141">
        <f>'S3 - Davis 2004 IIP'!B119</f>
        <v>1182.1532300649501</v>
      </c>
      <c r="J39" s="141">
        <f>0.9*$J$38+0.1*$J$48</f>
        <v>1.1901314077086743E-2</v>
      </c>
      <c r="K39" s="141">
        <f t="shared" si="0"/>
        <v>16.668092552401994</v>
      </c>
      <c r="L39" s="141"/>
      <c r="M39" s="141">
        <f t="shared" si="1"/>
        <v>22.555676852401994</v>
      </c>
    </row>
    <row r="40" spans="1:13" ht="17.5" customHeight="1">
      <c r="A40" s="22">
        <v>1901</v>
      </c>
      <c r="B40" s="141"/>
      <c r="C40" s="141"/>
      <c r="D40" s="141">
        <f t="shared" si="5"/>
        <v>5.9470489014300014</v>
      </c>
      <c r="E40" s="28"/>
      <c r="F40" s="141">
        <v>1.2136934902417</v>
      </c>
      <c r="G40" s="141">
        <f>'S10 - NFI 1900-1909'!E7</f>
        <v>-8.7999999999999995E-2</v>
      </c>
      <c r="H40" s="141">
        <f>'S21-Olney durables'!$G41/1000</f>
        <v>1.5702685308006581</v>
      </c>
      <c r="I40" s="141">
        <f>'S3 - Davis 2004 IIP'!B120</f>
        <v>1277.0588041695701</v>
      </c>
      <c r="J40" s="141">
        <f>0.8*$J$38+0.2*$J$48</f>
        <v>1.181732216894715E-2</v>
      </c>
      <c r="K40" s="141">
        <f t="shared" si="0"/>
        <v>17.787377338604554</v>
      </c>
      <c r="L40" s="141"/>
      <c r="M40" s="141">
        <f t="shared" si="1"/>
        <v>23.734426240034555</v>
      </c>
    </row>
    <row r="41" spans="1:13" ht="17.5" customHeight="1">
      <c r="A41" s="22">
        <v>1902</v>
      </c>
      <c r="B41" s="141"/>
      <c r="C41" s="141"/>
      <c r="D41" s="141">
        <f t="shared" si="5"/>
        <v>6.0071140953344448</v>
      </c>
      <c r="E41" s="28"/>
      <c r="F41" s="141">
        <v>1.27250290672364</v>
      </c>
      <c r="G41" s="141">
        <f>'S10 - NFI 1900-1909'!E8</f>
        <v>-0.08</v>
      </c>
      <c r="H41" s="141">
        <f>'S21-Olney durables'!$G42/1000</f>
        <v>1.6653560778903806</v>
      </c>
      <c r="I41" s="141">
        <f>'S3 - Davis 2004 IIP'!B121</f>
        <v>1369.3417469492699</v>
      </c>
      <c r="J41" s="141">
        <f>0.7*$J$38+0.3*$J$48</f>
        <v>1.1733330260807555E-2</v>
      </c>
      <c r="K41" s="141">
        <f t="shared" si="0"/>
        <v>18.924797941480971</v>
      </c>
      <c r="L41" s="141"/>
      <c r="M41" s="141">
        <f t="shared" si="1"/>
        <v>24.931912036815415</v>
      </c>
    </row>
    <row r="42" spans="1:13" ht="17.5" customHeight="1">
      <c r="A42" s="22">
        <v>1903</v>
      </c>
      <c r="B42" s="141"/>
      <c r="C42" s="141"/>
      <c r="D42" s="141">
        <f t="shared" si="5"/>
        <v>6.067785947697323</v>
      </c>
      <c r="E42" s="28"/>
      <c r="F42" s="141">
        <v>1.3882053748530201</v>
      </c>
      <c r="G42" s="141">
        <f>'S10 - NFI 1900-1909'!E9</f>
        <v>-7.1999999999999995E-2</v>
      </c>
      <c r="H42" s="141">
        <f>'S21-Olney durables'!$G43/1000</f>
        <v>1.7043540085955327</v>
      </c>
      <c r="I42" s="141">
        <f>'S3 - Davis 2004 IIP'!B122</f>
        <v>1420.3391966680499</v>
      </c>
      <c r="J42" s="141">
        <f>0.6*$J$38+0.4*$J$48</f>
        <v>1.1649338352667961E-2</v>
      </c>
      <c r="K42" s="141">
        <f t="shared" si="0"/>
        <v>19.566571260991271</v>
      </c>
      <c r="L42" s="141"/>
      <c r="M42" s="141">
        <f t="shared" si="1"/>
        <v>25.634357208688595</v>
      </c>
    </row>
    <row r="43" spans="1:13" ht="17.5" customHeight="1">
      <c r="A43" s="22">
        <v>1904</v>
      </c>
      <c r="B43" s="141"/>
      <c r="C43" s="141"/>
      <c r="D43" s="141">
        <f t="shared" si="5"/>
        <v>6.1290705857690657</v>
      </c>
      <c r="E43" s="28"/>
      <c r="F43" s="141">
        <v>1.30708276286688</v>
      </c>
      <c r="G43" s="141">
        <f>'S10 - NFI 1900-1909'!E10</f>
        <v>-7.0999999999999994E-2</v>
      </c>
      <c r="H43" s="141">
        <f>'S21-Olney durables'!$G44/1000</f>
        <v>1.684614315275641</v>
      </c>
      <c r="I43" s="141">
        <f>'S3 - Davis 2004 IIP'!B123</f>
        <v>1353.1563629249699</v>
      </c>
      <c r="J43" s="141">
        <f>0.5*$J$38+0.5*$J$48</f>
        <v>1.1565346444528368E-2</v>
      </c>
      <c r="K43" s="141">
        <f t="shared" si="0"/>
        <v>18.570419208987758</v>
      </c>
      <c r="L43" s="141"/>
      <c r="M43" s="141">
        <f t="shared" si="1"/>
        <v>24.699489794756822</v>
      </c>
    </row>
    <row r="44" spans="1:13" ht="17.5" customHeight="1">
      <c r="A44" s="22">
        <v>1905</v>
      </c>
      <c r="B44" s="141"/>
      <c r="C44" s="141"/>
      <c r="D44" s="141">
        <f t="shared" si="5"/>
        <v>6.1909741986853328</v>
      </c>
      <c r="E44" s="28"/>
      <c r="F44" s="141">
        <v>1.4504789697146401</v>
      </c>
      <c r="G44" s="141">
        <f>'S10 - NFI 1900-1909'!E11</f>
        <v>-6.9000000000000006E-2</v>
      </c>
      <c r="H44" s="141">
        <f>'S21-Olney durables'!$G45/1000</f>
        <v>1.9145095240621852</v>
      </c>
      <c r="I44" s="141">
        <f>'S3 - Davis 2004 IIP'!B124</f>
        <v>1565.6413586763999</v>
      </c>
      <c r="J44" s="141">
        <f>0.4*$J$38+0.6*$J$48</f>
        <v>1.1481354536388775E-2</v>
      </c>
      <c r="K44" s="141">
        <f t="shared" si="0"/>
        <v>21.271672009573997</v>
      </c>
      <c r="L44" s="141"/>
      <c r="M44" s="141">
        <f t="shared" si="1"/>
        <v>27.462646208259329</v>
      </c>
    </row>
    <row r="45" spans="1:13" ht="17.5" customHeight="1">
      <c r="A45" s="22">
        <v>1906</v>
      </c>
      <c r="B45" s="141"/>
      <c r="C45" s="141"/>
      <c r="D45" s="141">
        <f t="shared" si="5"/>
        <v>6.2535030380920551</v>
      </c>
      <c r="E45" s="28"/>
      <c r="F45" s="141">
        <v>1.48569932157486</v>
      </c>
      <c r="G45" s="141">
        <f>'S10 - NFI 1900-1909'!E12</f>
        <v>-6.2E-2</v>
      </c>
      <c r="H45" s="141">
        <f>'S21-Olney durables'!$G46/1000</f>
        <v>2.1311646946463636</v>
      </c>
      <c r="I45" s="141">
        <f>'S3 - Davis 2004 IIP'!B125</f>
        <v>1644.91072233779</v>
      </c>
      <c r="J45" s="141">
        <f>0.3*$J$38+0.7*$J$48</f>
        <v>1.139736262824918E-2</v>
      </c>
      <c r="K45" s="141">
        <f t="shared" si="0"/>
        <v>22.302508009800313</v>
      </c>
      <c r="L45" s="141"/>
      <c r="M45" s="141">
        <f t="shared" si="1"/>
        <v>28.556011047892369</v>
      </c>
    </row>
    <row r="46" spans="1:13" ht="17.5" customHeight="1">
      <c r="A46" s="22">
        <v>1907</v>
      </c>
      <c r="B46" s="141"/>
      <c r="C46" s="141"/>
      <c r="D46" s="141">
        <f t="shared" si="5"/>
        <v>6.3166634187767849</v>
      </c>
      <c r="E46" s="28"/>
      <c r="F46" s="141">
        <v>1.63090850109158</v>
      </c>
      <c r="G46" s="141">
        <f>'S10 - NFI 1900-1909'!E13</f>
        <v>-6.6000000000000003E-2</v>
      </c>
      <c r="H46" s="141">
        <f>'S21-Olney durables'!$G47/1000</f>
        <v>1.9949126651456466</v>
      </c>
      <c r="I46" s="141">
        <f>'S3 - Davis 2004 IIP'!B126</f>
        <v>1713.2577700490599</v>
      </c>
      <c r="J46" s="141">
        <f>0.2*$J$38+0.8*$J$48</f>
        <v>1.1313370720109588E-2</v>
      </c>
      <c r="K46" s="141">
        <f t="shared" si="0"/>
        <v>22.942541457910508</v>
      </c>
      <c r="L46" s="141"/>
      <c r="M46" s="141">
        <f t="shared" si="1"/>
        <v>29.259204876687292</v>
      </c>
    </row>
    <row r="47" spans="1:13" ht="17.5" customHeight="1">
      <c r="A47" s="22">
        <v>1908</v>
      </c>
      <c r="B47" s="141"/>
      <c r="C47" s="141"/>
      <c r="D47" s="141">
        <f t="shared" si="5"/>
        <v>6.3804617193064308</v>
      </c>
      <c r="E47" s="28"/>
      <c r="F47" s="141">
        <v>1.8215988913049299</v>
      </c>
      <c r="G47" s="141">
        <f>'S10 - NFI 1900-1909'!E14</f>
        <v>-7.0999999999999994E-2</v>
      </c>
      <c r="H47" s="141">
        <f>'S21-Olney durables'!$G48/1000</f>
        <v>1.6918361542951135</v>
      </c>
      <c r="I47" s="141">
        <f>'S3 - Davis 2004 IIP'!B127</f>
        <v>1446.45656650367</v>
      </c>
      <c r="J47" s="141">
        <f>0.1*$J$38+0.9*$J$48</f>
        <v>1.1229378811969995E-2</v>
      </c>
      <c r="K47" s="141">
        <f t="shared" si="0"/>
        <v>19.685243765931222</v>
      </c>
      <c r="L47" s="141"/>
      <c r="M47" s="141">
        <f t="shared" si="1"/>
        <v>26.065705485237654</v>
      </c>
    </row>
    <row r="48" spans="1:13" ht="17.5" customHeight="1">
      <c r="A48" s="22">
        <v>1909</v>
      </c>
      <c r="B48" s="141">
        <f>D48</f>
        <v>6.4449043826714254</v>
      </c>
      <c r="C48" s="141">
        <v>1.01E-2</v>
      </c>
      <c r="D48" s="141">
        <f t="shared" si="5"/>
        <v>6.4449043826714254</v>
      </c>
      <c r="E48" s="151">
        <f>L48-B48</f>
        <v>22.719568285388611</v>
      </c>
      <c r="F48" s="141">
        <v>1.6667888137040701</v>
      </c>
      <c r="G48" s="141">
        <f>'S10 - NFI 1900-1909'!E15</f>
        <v>-6.4000000000000001E-2</v>
      </c>
      <c r="H48" s="141">
        <f>'S21-Olney durables'!$G49/1000</f>
        <v>2.1080548097840506</v>
      </c>
      <c r="I48" s="141">
        <f>'S3 - Davis 2004 IIP'!B128</f>
        <v>1705.52398278499</v>
      </c>
      <c r="J48" s="141">
        <f>(E48-F48-G48-H48)/I48</f>
        <v>1.11453869038304E-2</v>
      </c>
      <c r="K48" s="141">
        <f t="shared" si="0"/>
        <v>22.719568285388611</v>
      </c>
      <c r="L48" s="141">
        <f>'E4-Benchmarks, 1869-1909'!N19</f>
        <v>29.164472668060036</v>
      </c>
      <c r="M48" s="141">
        <f t="shared" si="1"/>
        <v>29.164472668060036</v>
      </c>
    </row>
    <row r="49" spans="1:13" ht="17.5" customHeight="1">
      <c r="A49" s="6"/>
      <c r="B49" s="6"/>
      <c r="C49" s="6"/>
      <c r="D49" s="6"/>
      <c r="E49" s="6"/>
      <c r="F49" s="6"/>
      <c r="G49" s="6"/>
      <c r="H49" s="6"/>
      <c r="I49" s="6"/>
      <c r="J49" s="141"/>
      <c r="K49" s="6"/>
      <c r="L49" s="6"/>
      <c r="M49" s="6"/>
    </row>
    <row r="50" spans="1:13" ht="17.5" customHeight="1">
      <c r="A50" s="8" t="s">
        <v>552</v>
      </c>
      <c r="B50" s="6"/>
      <c r="C50" s="6"/>
      <c r="D50" s="6"/>
      <c r="E50" s="6"/>
      <c r="F50" s="6"/>
      <c r="G50" s="6"/>
      <c r="H50" s="6"/>
      <c r="I50" s="6"/>
      <c r="J50" s="6"/>
      <c r="K50" s="6"/>
      <c r="L50" s="6"/>
      <c r="M50" s="6"/>
    </row>
    <row r="51" spans="1:13" ht="13.75" customHeight="1">
      <c r="A51" s="6"/>
      <c r="B51" s="6"/>
      <c r="C51" s="6"/>
      <c r="D51" s="6"/>
      <c r="E51" s="6"/>
      <c r="F51" s="6"/>
      <c r="G51" s="6"/>
      <c r="H51" s="6"/>
      <c r="I51" s="6"/>
      <c r="J51" s="6"/>
      <c r="K51" s="6"/>
      <c r="L51" s="6"/>
      <c r="M51" s="6"/>
    </row>
    <row r="52" spans="1:13" ht="13.75" customHeight="1">
      <c r="A52" s="237" t="s">
        <v>460</v>
      </c>
      <c r="B52" s="238"/>
      <c r="C52" s="238"/>
      <c r="D52" s="238"/>
      <c r="E52" s="238"/>
      <c r="F52" s="238"/>
      <c r="G52" s="238"/>
      <c r="H52" s="6"/>
      <c r="I52" s="6"/>
      <c r="J52" s="6"/>
      <c r="K52" s="6"/>
      <c r="L52" s="6"/>
      <c r="M52" s="6"/>
    </row>
    <row r="53" spans="1:13" ht="13.75" customHeight="1">
      <c r="A53" s="238"/>
      <c r="B53" s="238"/>
      <c r="C53" s="238"/>
      <c r="D53" s="238"/>
      <c r="E53" s="238"/>
      <c r="F53" s="238"/>
      <c r="G53" s="238"/>
      <c r="H53" s="6"/>
      <c r="I53" s="6"/>
      <c r="J53" s="6"/>
      <c r="K53" s="6"/>
      <c r="L53" s="6"/>
      <c r="M53" s="6"/>
    </row>
    <row r="54" spans="1:13" ht="33.75" customHeight="1">
      <c r="A54" s="238"/>
      <c r="B54" s="238"/>
      <c r="C54" s="238"/>
      <c r="D54" s="238"/>
      <c r="E54" s="238"/>
      <c r="F54" s="238"/>
      <c r="G54" s="238"/>
      <c r="H54" s="6"/>
      <c r="I54" s="6"/>
      <c r="J54" s="6"/>
      <c r="K54" s="6"/>
      <c r="L54" s="6"/>
      <c r="M54" s="6"/>
    </row>
  </sheetData>
  <mergeCells count="4">
    <mergeCell ref="B6:D6"/>
    <mergeCell ref="E6:K6"/>
    <mergeCell ref="L6:M6"/>
    <mergeCell ref="A52:G54"/>
  </mergeCells>
  <pageMargins left="0.75" right="0.75" top="1" bottom="1" header="0.5" footer="0.5"/>
  <pageSetup orientation="landscape"/>
  <headerFooter>
    <oddFooter>&amp;C&amp;"Helvetica Neue,Regular"&amp;12&amp;K000000&amp;P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172"/>
  <sheetViews>
    <sheetView showGridLines="0" topLeftCell="A2" workbookViewId="0">
      <pane ySplit="4340" activePane="bottomLeft"/>
      <selection activeCell="I11" sqref="I11"/>
      <selection pane="bottomLeft"/>
    </sheetView>
  </sheetViews>
  <sheetFormatPr baseColWidth="10" defaultColWidth="8.83203125" defaultRowHeight="13" customHeight="1"/>
  <cols>
    <col min="1" max="1" width="8.83203125" style="4" customWidth="1"/>
    <col min="2" max="2" width="12.83203125" style="4" customWidth="1"/>
    <col min="3" max="10" width="14.83203125" style="4" customWidth="1"/>
    <col min="11" max="11" width="12.6640625" style="4" customWidth="1"/>
    <col min="12" max="16" width="8.83203125" style="4" customWidth="1"/>
    <col min="17" max="16384" width="8.83203125" style="4"/>
  </cols>
  <sheetData>
    <row r="1" spans="1:15" ht="16" customHeight="1">
      <c r="A1" s="74" t="s">
        <v>569</v>
      </c>
      <c r="B1" s="59"/>
      <c r="C1" s="58"/>
      <c r="D1" s="58"/>
      <c r="E1" s="58"/>
      <c r="F1" s="58"/>
      <c r="G1" s="58"/>
      <c r="H1" s="49"/>
      <c r="I1" s="49"/>
      <c r="J1" s="49"/>
      <c r="K1" s="49"/>
      <c r="L1" s="49"/>
      <c r="M1" s="49"/>
      <c r="N1" s="49"/>
      <c r="O1" s="49"/>
    </row>
    <row r="2" spans="1:15" ht="16" customHeight="1">
      <c r="A2" s="74" t="s">
        <v>570</v>
      </c>
      <c r="B2" s="59"/>
      <c r="C2" s="58"/>
      <c r="D2" s="58"/>
      <c r="E2" s="58"/>
      <c r="F2" s="58"/>
      <c r="G2" s="58"/>
      <c r="H2" s="49"/>
      <c r="I2" s="49"/>
      <c r="J2" s="49"/>
      <c r="K2" s="49"/>
      <c r="L2" s="49"/>
      <c r="M2" s="49"/>
      <c r="N2" s="49"/>
      <c r="O2" s="49"/>
    </row>
    <row r="3" spans="1:15" ht="16" customHeight="1">
      <c r="A3" s="74" t="s">
        <v>571</v>
      </c>
      <c r="B3" s="59"/>
      <c r="C3" s="58"/>
      <c r="D3" s="58"/>
      <c r="E3" s="58"/>
      <c r="F3" s="58"/>
      <c r="G3" s="58"/>
      <c r="H3" s="49"/>
      <c r="I3" s="49"/>
      <c r="J3" s="49"/>
      <c r="K3" s="49"/>
      <c r="L3" s="49"/>
      <c r="M3" s="49"/>
      <c r="N3" s="49"/>
      <c r="O3" s="49"/>
    </row>
    <row r="4" spans="1:15" ht="16" customHeight="1">
      <c r="A4" s="74" t="s">
        <v>572</v>
      </c>
      <c r="B4" s="59"/>
      <c r="C4" s="58"/>
      <c r="D4" s="58"/>
      <c r="E4" s="58"/>
      <c r="F4" s="58"/>
      <c r="G4" s="58"/>
      <c r="H4" s="49"/>
      <c r="I4" s="49"/>
      <c r="J4" s="49"/>
      <c r="K4" s="49"/>
      <c r="L4" s="49"/>
      <c r="M4" s="49"/>
      <c r="N4" s="49"/>
      <c r="O4" s="49"/>
    </row>
    <row r="5" spans="1:15" ht="16" customHeight="1">
      <c r="A5" s="74" t="s">
        <v>478</v>
      </c>
      <c r="B5" s="59"/>
      <c r="C5" s="58"/>
      <c r="D5" s="58"/>
      <c r="E5" s="58"/>
      <c r="F5" s="58"/>
      <c r="G5" s="58"/>
      <c r="H5" s="49"/>
      <c r="I5" s="49"/>
      <c r="J5" s="49"/>
      <c r="K5" s="49"/>
      <c r="L5" s="49"/>
      <c r="M5" s="49"/>
      <c r="N5" s="49"/>
      <c r="O5" s="49"/>
    </row>
    <row r="6" spans="1:15" ht="16" customHeight="1">
      <c r="A6" s="6"/>
      <c r="B6" s="59"/>
      <c r="C6" s="58"/>
      <c r="D6" s="58"/>
      <c r="E6" s="58"/>
      <c r="F6" s="58"/>
      <c r="G6" s="58"/>
      <c r="H6" s="49"/>
      <c r="I6" s="49"/>
      <c r="J6" s="49"/>
      <c r="K6" s="49"/>
      <c r="L6" s="49"/>
      <c r="M6" s="49"/>
      <c r="N6" s="49"/>
      <c r="O6" s="49"/>
    </row>
    <row r="7" spans="1:15" ht="16" customHeight="1">
      <c r="A7" s="74" t="s">
        <v>573</v>
      </c>
      <c r="B7" s="59"/>
      <c r="C7" s="58"/>
      <c r="D7" s="58"/>
      <c r="E7" s="58"/>
      <c r="F7" s="58"/>
      <c r="G7" s="58"/>
      <c r="H7" s="49"/>
      <c r="I7" s="49"/>
      <c r="J7" s="49"/>
      <c r="K7" s="49"/>
      <c r="L7" s="49"/>
      <c r="M7" s="49"/>
      <c r="N7" s="49"/>
      <c r="O7" s="49"/>
    </row>
    <row r="8" spans="1:15" ht="16" customHeight="1">
      <c r="A8" s="6"/>
      <c r="B8" s="59"/>
      <c r="C8" s="58"/>
      <c r="D8" s="58"/>
      <c r="E8" s="58"/>
      <c r="F8" s="58"/>
      <c r="G8" s="58"/>
      <c r="H8" s="49"/>
      <c r="I8" s="49"/>
      <c r="J8" s="49"/>
      <c r="K8" s="49"/>
      <c r="L8" s="49"/>
      <c r="M8" s="49"/>
      <c r="N8" s="49"/>
      <c r="O8" s="49"/>
    </row>
    <row r="9" spans="1:15" ht="16" customHeight="1">
      <c r="A9" s="6"/>
      <c r="B9" s="59"/>
      <c r="C9" s="58"/>
      <c r="D9" s="58"/>
      <c r="E9" s="58"/>
      <c r="F9" s="58"/>
      <c r="G9" s="58"/>
      <c r="H9" s="49"/>
      <c r="I9" s="49"/>
      <c r="J9" s="49"/>
      <c r="K9" s="49"/>
      <c r="L9" s="49"/>
      <c r="M9" s="49"/>
      <c r="N9" s="49"/>
      <c r="O9" s="49"/>
    </row>
    <row r="10" spans="1:15" ht="51" customHeight="1">
      <c r="A10" s="35" t="s">
        <v>95</v>
      </c>
      <c r="B10" s="21" t="s">
        <v>574</v>
      </c>
      <c r="C10" s="21" t="s">
        <v>575</v>
      </c>
      <c r="D10" s="21" t="s">
        <v>576</v>
      </c>
      <c r="E10" s="21" t="s">
        <v>622</v>
      </c>
      <c r="F10" s="21" t="s">
        <v>577</v>
      </c>
      <c r="G10" s="21" t="s">
        <v>578</v>
      </c>
      <c r="H10" s="21" t="s">
        <v>579</v>
      </c>
      <c r="I10" s="21" t="s">
        <v>599</v>
      </c>
      <c r="J10"/>
      <c r="K10" s="49"/>
      <c r="L10" s="49"/>
      <c r="M10" s="49"/>
      <c r="N10" s="49"/>
      <c r="O10" s="49"/>
    </row>
    <row r="11" spans="1:15" ht="16" customHeight="1">
      <c r="A11" s="108">
        <v>1790</v>
      </c>
      <c r="B11" s="152">
        <f>'E7 -Real GDP 1790-1799'!M18</f>
        <v>0.21506323034523955</v>
      </c>
      <c r="C11" s="66">
        <f>'E5 - GDP deflator 1790-1909'!E7</f>
        <v>87.855519070472326</v>
      </c>
      <c r="D11" s="119">
        <f t="shared" ref="D11:D42" si="0">($D$130/$C$130)*C11</f>
        <v>0.43801591077588586</v>
      </c>
      <c r="E11" s="119">
        <f>D11*8.852</f>
        <v>3.8773168421881419</v>
      </c>
      <c r="F11" s="119">
        <f t="shared" ref="F11:F42" si="1">B11*C$136</f>
        <v>0.24825079925074767</v>
      </c>
      <c r="G11" s="119">
        <f t="shared" ref="G11:G42" si="2">F11*F$140</f>
        <v>0.43136058877809913</v>
      </c>
      <c r="H11" s="119">
        <f t="shared" ref="H11:H42" si="3">G11*C$144</f>
        <v>0.43541502698347101</v>
      </c>
      <c r="I11" s="152">
        <f>H11*C$149</f>
        <v>4.9750345861913958</v>
      </c>
      <c r="J11"/>
      <c r="K11" s="49"/>
      <c r="L11" s="49"/>
      <c r="M11" s="49"/>
      <c r="N11" s="49"/>
      <c r="O11" s="49"/>
    </row>
    <row r="12" spans="1:15" ht="16" customHeight="1">
      <c r="A12" s="108">
        <v>1791</v>
      </c>
      <c r="B12" s="152">
        <f>'E7 -Real GDP 1790-1799'!M19</f>
        <v>0.22798514863980174</v>
      </c>
      <c r="C12" s="66">
        <f>'E5 - GDP deflator 1790-1909'!E8</f>
        <v>90.251578681485213</v>
      </c>
      <c r="D12" s="119">
        <f t="shared" si="0"/>
        <v>0.44996179925159185</v>
      </c>
      <c r="E12" s="119">
        <f t="shared" ref="E12:E75" si="4">D12*8.852</f>
        <v>3.9830618469750911</v>
      </c>
      <c r="F12" s="119">
        <f t="shared" si="1"/>
        <v>0.26316676856511317</v>
      </c>
      <c r="G12" s="119">
        <f t="shared" si="2"/>
        <v>0.45727857705874064</v>
      </c>
      <c r="H12" s="119">
        <f t="shared" si="3"/>
        <v>0.46157662324459375</v>
      </c>
      <c r="I12" s="152">
        <f t="shared" ref="I12:I75" si="5">H12*C$149</f>
        <v>5.2739559328678443</v>
      </c>
      <c r="J12"/>
      <c r="K12" s="49"/>
      <c r="L12" s="49"/>
      <c r="M12" s="49"/>
      <c r="N12" s="49"/>
      <c r="O12" s="49"/>
    </row>
    <row r="13" spans="1:15" ht="16" customHeight="1">
      <c r="A13" s="108">
        <v>1792</v>
      </c>
      <c r="B13" s="152">
        <f>'E7 -Real GDP 1790-1799'!M20</f>
        <v>0.2447886758862734</v>
      </c>
      <c r="C13" s="66">
        <f>'E5 - GDP deflator 1790-1909'!E9</f>
        <v>91.8489517554938</v>
      </c>
      <c r="D13" s="119">
        <f t="shared" si="0"/>
        <v>0.45792572490206251</v>
      </c>
      <c r="E13" s="119">
        <f t="shared" si="4"/>
        <v>4.0535585168330579</v>
      </c>
      <c r="F13" s="119">
        <f t="shared" si="1"/>
        <v>0.28256333887828033</v>
      </c>
      <c r="G13" s="119">
        <f t="shared" si="2"/>
        <v>0.49098205763489994</v>
      </c>
      <c r="H13" s="119">
        <f t="shared" si="3"/>
        <v>0.49559688908778232</v>
      </c>
      <c r="I13" s="152">
        <f t="shared" si="5"/>
        <v>5.662670122118171</v>
      </c>
      <c r="J13"/>
      <c r="K13" s="49"/>
      <c r="L13" s="49"/>
      <c r="M13" s="49"/>
      <c r="N13" s="49"/>
      <c r="O13" s="49"/>
    </row>
    <row r="14" spans="1:15" ht="16" customHeight="1">
      <c r="A14" s="108">
        <v>1793</v>
      </c>
      <c r="B14" s="152">
        <f>'E7 -Real GDP 1790-1799'!M21</f>
        <v>0.26423754901960783</v>
      </c>
      <c r="C14" s="66">
        <f>'E5 - GDP deflator 1790-1909'!E10</f>
        <v>95.043697903510974</v>
      </c>
      <c r="D14" s="119">
        <f t="shared" si="0"/>
        <v>0.47385357620300378</v>
      </c>
      <c r="E14" s="119">
        <f t="shared" si="4"/>
        <v>4.1945518565489897</v>
      </c>
      <c r="F14" s="119">
        <f t="shared" si="1"/>
        <v>0.30501347269300078</v>
      </c>
      <c r="G14" s="119">
        <f t="shared" si="2"/>
        <v>0.5299914101513582</v>
      </c>
      <c r="H14" s="119">
        <f t="shared" si="3"/>
        <v>0.53497289774604895</v>
      </c>
      <c r="I14" s="152">
        <f t="shared" si="5"/>
        <v>6.1125788133689323</v>
      </c>
      <c r="J14"/>
      <c r="K14" s="49"/>
      <c r="L14" s="49"/>
      <c r="M14" s="49"/>
      <c r="N14" s="49"/>
      <c r="O14" s="49"/>
    </row>
    <row r="15" spans="1:15" ht="16" customHeight="1">
      <c r="A15" s="108">
        <v>1794</v>
      </c>
      <c r="B15" s="152">
        <f>'E7 -Real GDP 1790-1799'!M22</f>
        <v>0.29850460611028434</v>
      </c>
      <c r="C15" s="66">
        <f>'E5 - GDP deflator 1790-1909'!E11</f>
        <v>105.4266228845668</v>
      </c>
      <c r="D15" s="119">
        <f t="shared" si="0"/>
        <v>0.52561909293106301</v>
      </c>
      <c r="E15" s="119">
        <f t="shared" si="4"/>
        <v>4.6527802106257701</v>
      </c>
      <c r="F15" s="119">
        <f t="shared" si="1"/>
        <v>0.3445684644834407</v>
      </c>
      <c r="G15" s="119">
        <f t="shared" si="2"/>
        <v>0.59872216388642652</v>
      </c>
      <c r="H15" s="119">
        <f t="shared" si="3"/>
        <v>0.6043496645872678</v>
      </c>
      <c r="I15" s="152">
        <f t="shared" si="5"/>
        <v>6.9052749610062589</v>
      </c>
      <c r="J15"/>
      <c r="K15" s="49"/>
      <c r="L15" s="49"/>
      <c r="M15" s="49"/>
      <c r="N15" s="49"/>
      <c r="O15" s="49"/>
    </row>
    <row r="16" spans="1:15" ht="16" customHeight="1">
      <c r="A16" s="108">
        <v>1795</v>
      </c>
      <c r="B16" s="152">
        <f>'E7 -Real GDP 1790-1799'!M23</f>
        <v>0.31692025030732429</v>
      </c>
      <c r="C16" s="66">
        <f>'E5 - GDP deflator 1790-1909'!E12</f>
        <v>120.60166708764838</v>
      </c>
      <c r="D16" s="119">
        <f t="shared" si="0"/>
        <v>0.60127638661053429</v>
      </c>
      <c r="E16" s="119">
        <f t="shared" si="4"/>
        <v>5.3224985742764499</v>
      </c>
      <c r="F16" s="119">
        <f t="shared" si="1"/>
        <v>0.3658259262229191</v>
      </c>
      <c r="G16" s="119">
        <f t="shared" si="2"/>
        <v>0.63565912940494418</v>
      </c>
      <c r="H16" s="119">
        <f t="shared" si="3"/>
        <v>0.64163380749770482</v>
      </c>
      <c r="I16" s="152">
        <f t="shared" si="5"/>
        <v>7.3312820783558594</v>
      </c>
      <c r="J16"/>
      <c r="K16" s="49"/>
      <c r="L16" s="49"/>
      <c r="M16" s="49"/>
      <c r="N16" s="49"/>
      <c r="O16" s="49"/>
    </row>
    <row r="17" spans="1:15" ht="16" customHeight="1">
      <c r="A17" s="108">
        <v>1796</v>
      </c>
      <c r="B17" s="152">
        <f>'E7 -Real GDP 1790-1799'!M24</f>
        <v>0.32648463231003322</v>
      </c>
      <c r="C17" s="66">
        <f>'E5 - GDP deflator 1790-1909'!E13</f>
        <v>126.99115938368273</v>
      </c>
      <c r="D17" s="119">
        <f t="shared" si="0"/>
        <v>0.63313208921241682</v>
      </c>
      <c r="E17" s="119">
        <f t="shared" si="4"/>
        <v>5.6044852537083134</v>
      </c>
      <c r="F17" s="119">
        <f t="shared" si="1"/>
        <v>0.3768662396818977</v>
      </c>
      <c r="G17" s="119">
        <f t="shared" si="2"/>
        <v>0.65484277807126545</v>
      </c>
      <c r="H17" s="119">
        <f t="shared" si="3"/>
        <v>0.66099776683703282</v>
      </c>
      <c r="I17" s="152">
        <f t="shared" si="5"/>
        <v>7.5525338989606121</v>
      </c>
      <c r="J17"/>
      <c r="K17" s="49"/>
      <c r="L17" s="49"/>
      <c r="M17" s="49"/>
      <c r="N17" s="49"/>
      <c r="O17" s="49"/>
    </row>
    <row r="18" spans="1:15" ht="16" customHeight="1">
      <c r="A18" s="108">
        <v>1797</v>
      </c>
      <c r="B18" s="152">
        <f>'E7 -Real GDP 1790-1799'!M25</f>
        <v>0.33251094398996528</v>
      </c>
      <c r="C18" s="66">
        <f>'E5 - GDP deflator 1790-1909'!E14</f>
        <v>122.19904016165697</v>
      </c>
      <c r="D18" s="119">
        <f t="shared" si="0"/>
        <v>0.60924031226100483</v>
      </c>
      <c r="E18" s="119">
        <f t="shared" si="4"/>
        <v>5.3929952441344149</v>
      </c>
      <c r="F18" s="119">
        <f t="shared" si="1"/>
        <v>0.3838225040729592</v>
      </c>
      <c r="G18" s="119">
        <f t="shared" si="2"/>
        <v>0.66692998307717388</v>
      </c>
      <c r="H18" s="119">
        <f t="shared" si="3"/>
        <v>0.67319858172536229</v>
      </c>
      <c r="I18" s="152">
        <f t="shared" si="5"/>
        <v>7.691939919165474</v>
      </c>
      <c r="J18"/>
      <c r="K18" s="49"/>
      <c r="L18" s="49"/>
      <c r="M18" s="49"/>
      <c r="N18" s="49"/>
      <c r="O18" s="49"/>
    </row>
    <row r="19" spans="1:15" ht="16" customHeight="1">
      <c r="A19" s="153">
        <v>1798</v>
      </c>
      <c r="B19" s="154">
        <f>'E7 -Real GDP 1790-1799'!M26</f>
        <v>0.34623376457677146</v>
      </c>
      <c r="C19" s="155">
        <f>'E5 - GDP deflator 1790-1909'!E15</f>
        <v>118.20560747663551</v>
      </c>
      <c r="D19" s="119">
        <f t="shared" si="0"/>
        <v>0.5893304981348283</v>
      </c>
      <c r="E19" s="119">
        <f t="shared" si="4"/>
        <v>5.2167535694895006</v>
      </c>
      <c r="F19" s="156">
        <f t="shared" si="1"/>
        <v>0.39966296723898015</v>
      </c>
      <c r="G19" s="156">
        <f t="shared" si="2"/>
        <v>0.69445437187445191</v>
      </c>
      <c r="H19" s="156">
        <f t="shared" si="3"/>
        <v>0.70098167735961703</v>
      </c>
      <c r="I19" s="152">
        <f t="shared" si="5"/>
        <v>8.0093884524636305</v>
      </c>
      <c r="J19"/>
      <c r="K19" s="49"/>
      <c r="L19" s="49"/>
      <c r="M19" s="157"/>
      <c r="N19" s="157"/>
      <c r="O19" s="157"/>
    </row>
    <row r="20" spans="1:15" ht="16" customHeight="1">
      <c r="A20" s="146">
        <v>1799</v>
      </c>
      <c r="B20" s="158">
        <f>'E7 -Real GDP 1790-1799'!M27</f>
        <v>0.37007943137254901</v>
      </c>
      <c r="C20" s="159">
        <f>'E5 - GDP deflator 1790-1909'!E16</f>
        <v>118.20560747663551</v>
      </c>
      <c r="D20" s="160">
        <f t="shared" si="0"/>
        <v>0.5893304981348283</v>
      </c>
      <c r="E20" s="119">
        <f t="shared" si="4"/>
        <v>5.2167535694895006</v>
      </c>
      <c r="F20" s="161">
        <f t="shared" si="1"/>
        <v>0.42718838769888828</v>
      </c>
      <c r="G20" s="161">
        <f t="shared" si="2"/>
        <v>0.74228254246558834</v>
      </c>
      <c r="H20" s="161">
        <f t="shared" si="3"/>
        <v>0.74925939379982376</v>
      </c>
      <c r="I20" s="152">
        <f t="shared" si="5"/>
        <v>8.5610076988096857</v>
      </c>
      <c r="J20"/>
      <c r="K20" s="6"/>
      <c r="L20" s="162"/>
      <c r="M20" s="163"/>
      <c r="N20" s="163"/>
      <c r="O20" s="164"/>
    </row>
    <row r="21" spans="1:15" ht="16" customHeight="1">
      <c r="A21" s="165">
        <v>1800</v>
      </c>
      <c r="B21" s="166">
        <f>'E8 -Real GDP 1799-1869'!L10</f>
        <v>0.39116386160865879</v>
      </c>
      <c r="C21" s="167">
        <f>'E5 - GDP deflator 1790-1909'!E17</f>
        <v>121.57426117706491</v>
      </c>
      <c r="D21" s="119">
        <f t="shared" si="0"/>
        <v>0.60612538972836116</v>
      </c>
      <c r="E21" s="119">
        <f t="shared" si="4"/>
        <v>5.3654219498754534</v>
      </c>
      <c r="F21" s="168">
        <f t="shared" si="1"/>
        <v>0.45152647026864423</v>
      </c>
      <c r="G21" s="168">
        <f t="shared" si="2"/>
        <v>0.78457239473879625</v>
      </c>
      <c r="H21" s="168">
        <f t="shared" si="3"/>
        <v>0.79194673624069334</v>
      </c>
      <c r="I21" s="152">
        <f t="shared" si="5"/>
        <v>9.0487515566806813</v>
      </c>
      <c r="J21"/>
      <c r="K21" s="49"/>
      <c r="L21" s="49"/>
      <c r="M21" s="169"/>
      <c r="N21" s="169"/>
      <c r="O21" s="169"/>
    </row>
    <row r="22" spans="1:15" ht="16" customHeight="1">
      <c r="A22" s="108">
        <v>1801</v>
      </c>
      <c r="B22" s="152">
        <f>'E8 -Real GDP 1799-1869'!L11</f>
        <v>0.41022666681735465</v>
      </c>
      <c r="C22" s="66">
        <f>'E5 - GDP deflator 1790-1909'!E18</f>
        <v>124.16999242232886</v>
      </c>
      <c r="D22" s="119">
        <f t="shared" si="0"/>
        <v>0.61906676891037593</v>
      </c>
      <c r="E22" s="119">
        <f t="shared" si="4"/>
        <v>5.4799790383946476</v>
      </c>
      <c r="F22" s="119">
        <f t="shared" si="1"/>
        <v>0.47353095993162958</v>
      </c>
      <c r="G22" s="119">
        <f t="shared" si="2"/>
        <v>0.82280739597719954</v>
      </c>
      <c r="H22" s="119">
        <f t="shared" si="3"/>
        <v>0.83054111534957509</v>
      </c>
      <c r="I22" s="152">
        <f t="shared" si="5"/>
        <v>9.4897293801368257</v>
      </c>
      <c r="J22"/>
      <c r="K22" s="49"/>
      <c r="L22" s="49"/>
      <c r="M22" s="49"/>
      <c r="N22" s="49"/>
      <c r="O22" s="49"/>
    </row>
    <row r="23" spans="1:15" ht="16" customHeight="1">
      <c r="A23" s="108">
        <v>1802</v>
      </c>
      <c r="B23" s="152">
        <f>'E8 -Real GDP 1799-1869'!L12</f>
        <v>0.42312787684548769</v>
      </c>
      <c r="C23" s="66">
        <f>'E5 - GDP deflator 1790-1909'!E19</f>
        <v>105.52323819146248</v>
      </c>
      <c r="D23" s="119">
        <f t="shared" si="0"/>
        <v>0.52610078198250287</v>
      </c>
      <c r="E23" s="119">
        <f t="shared" si="4"/>
        <v>4.6570441221091157</v>
      </c>
      <c r="F23" s="119">
        <f t="shared" si="1"/>
        <v>0.48842302537510152</v>
      </c>
      <c r="G23" s="119">
        <f t="shared" si="2"/>
        <v>0.84868384889177639</v>
      </c>
      <c r="H23" s="119">
        <f t="shared" si="3"/>
        <v>0.85666078584602134</v>
      </c>
      <c r="I23" s="152">
        <f t="shared" si="5"/>
        <v>9.7881716847123084</v>
      </c>
      <c r="J23"/>
      <c r="K23" s="49"/>
      <c r="L23" s="49"/>
      <c r="M23" s="49"/>
      <c r="N23" s="49"/>
      <c r="O23" s="49"/>
    </row>
    <row r="24" spans="1:15" ht="16" customHeight="1">
      <c r="A24" s="108">
        <v>1803</v>
      </c>
      <c r="B24" s="152">
        <f>'E8 -Real GDP 1799-1869'!L13</f>
        <v>0.4303011128701143</v>
      </c>
      <c r="C24" s="66">
        <f>'E5 - GDP deflator 1790-1909'!E20</f>
        <v>112.12528416266734</v>
      </c>
      <c r="D24" s="119">
        <f t="shared" si="0"/>
        <v>0.55901620049755296</v>
      </c>
      <c r="E24" s="119">
        <f t="shared" si="4"/>
        <v>4.9484114068043388</v>
      </c>
      <c r="F24" s="119">
        <f t="shared" si="1"/>
        <v>0.49670320220248931</v>
      </c>
      <c r="G24" s="119">
        <f t="shared" si="2"/>
        <v>0.86307148414704549</v>
      </c>
      <c r="H24" s="119">
        <f t="shared" si="3"/>
        <v>0.87118365315442992</v>
      </c>
      <c r="I24" s="152">
        <f t="shared" si="5"/>
        <v>9.9541093824774887</v>
      </c>
      <c r="J24"/>
      <c r="K24" s="49"/>
      <c r="L24" s="49"/>
      <c r="M24" s="49"/>
      <c r="N24" s="49"/>
      <c r="O24" s="49"/>
    </row>
    <row r="25" spans="1:15" ht="16" customHeight="1">
      <c r="A25" s="108">
        <v>1804</v>
      </c>
      <c r="B25" s="152">
        <f>'E8 -Real GDP 1799-1869'!L14</f>
        <v>0.44700990216913083</v>
      </c>
      <c r="C25" s="66">
        <f>'E5 - GDP deflator 1790-1909'!E21</f>
        <v>117.98661278100531</v>
      </c>
      <c r="D25" s="119">
        <f t="shared" si="0"/>
        <v>0.58823866961823157</v>
      </c>
      <c r="E25" s="119">
        <f t="shared" si="4"/>
        <v>5.2070887034605864</v>
      </c>
      <c r="F25" s="119">
        <f t="shared" si="1"/>
        <v>0.515990415043729</v>
      </c>
      <c r="G25" s="119">
        <f t="shared" si="2"/>
        <v>0.89658494517998355</v>
      </c>
      <c r="H25" s="119">
        <f t="shared" si="3"/>
        <v>0.90501211342545573</v>
      </c>
      <c r="I25" s="152">
        <f t="shared" si="5"/>
        <v>10.340632008974586</v>
      </c>
      <c r="J25"/>
      <c r="K25" s="49"/>
      <c r="L25" s="49"/>
      <c r="M25" s="49"/>
      <c r="N25" s="49"/>
      <c r="O25" s="49"/>
    </row>
    <row r="26" spans="1:15" ht="16" customHeight="1">
      <c r="A26" s="108">
        <v>1805</v>
      </c>
      <c r="B26" s="152">
        <f>'E8 -Real GDP 1799-1869'!L15</f>
        <v>0.47069568576505316</v>
      </c>
      <c r="C26" s="66">
        <f>'E5 - GDP deflator 1790-1909'!E22</f>
        <v>118.06390502652184</v>
      </c>
      <c r="D26" s="119">
        <f t="shared" si="0"/>
        <v>0.58862402085938326</v>
      </c>
      <c r="E26" s="119">
        <f t="shared" si="4"/>
        <v>5.2104998326472609</v>
      </c>
      <c r="F26" s="119">
        <f t="shared" si="1"/>
        <v>0.54333127986347907</v>
      </c>
      <c r="G26" s="119">
        <f t="shared" si="2"/>
        <v>0.94409243189078129</v>
      </c>
      <c r="H26" s="119">
        <f t="shared" si="3"/>
        <v>0.95296613181803524</v>
      </c>
      <c r="I26" s="152">
        <f t="shared" si="5"/>
        <v>10.888552694447386</v>
      </c>
      <c r="J26"/>
      <c r="K26" s="49"/>
      <c r="L26" s="49"/>
      <c r="M26" s="49"/>
      <c r="N26" s="49"/>
      <c r="O26" s="49"/>
    </row>
    <row r="27" spans="1:15" ht="16" customHeight="1">
      <c r="A27" s="108">
        <v>1806</v>
      </c>
      <c r="B27" s="152">
        <f>'E8 -Real GDP 1799-1869'!L16</f>
        <v>0.49294980194080146</v>
      </c>
      <c r="C27" s="66">
        <f>'E5 - GDP deflator 1790-1909'!E23</f>
        <v>124.03473099267491</v>
      </c>
      <c r="D27" s="119">
        <f t="shared" si="0"/>
        <v>0.61839240423836028</v>
      </c>
      <c r="E27" s="119">
        <f t="shared" si="4"/>
        <v>5.4740095623179652</v>
      </c>
      <c r="F27" s="119">
        <f t="shared" si="1"/>
        <v>0.56901954892918549</v>
      </c>
      <c r="G27" s="119">
        <f t="shared" si="2"/>
        <v>0.98872836821935273</v>
      </c>
      <c r="H27" s="119">
        <f t="shared" si="3"/>
        <v>0.99802160959357977</v>
      </c>
      <c r="I27" s="152">
        <f t="shared" si="5"/>
        <v>11.403354771407447</v>
      </c>
      <c r="J27"/>
      <c r="K27" s="49"/>
      <c r="L27" s="49"/>
      <c r="M27" s="49"/>
      <c r="N27" s="49"/>
      <c r="O27" s="49"/>
    </row>
    <row r="28" spans="1:15" ht="16" customHeight="1">
      <c r="A28" s="108">
        <v>1807</v>
      </c>
      <c r="B28" s="152">
        <f>'E8 -Real GDP 1799-1869'!L17</f>
        <v>0.49340818708253109</v>
      </c>
      <c r="C28" s="66">
        <f>'E5 - GDP deflator 1790-1909'!E24</f>
        <v>118.17984339479668</v>
      </c>
      <c r="D28" s="119">
        <f t="shared" si="0"/>
        <v>0.58920204772111118</v>
      </c>
      <c r="E28" s="119">
        <f t="shared" si="4"/>
        <v>5.2156165264272767</v>
      </c>
      <c r="F28" s="119">
        <f t="shared" si="1"/>
        <v>0.56954866995845843</v>
      </c>
      <c r="G28" s="119">
        <f t="shared" si="2"/>
        <v>0.98964776891981743</v>
      </c>
      <c r="H28" s="119">
        <f t="shared" si="3"/>
        <v>0.99894965191180696</v>
      </c>
      <c r="I28" s="152">
        <f t="shared" si="5"/>
        <v>11.413958545610225</v>
      </c>
      <c r="J28"/>
      <c r="K28" s="49"/>
      <c r="L28" s="49"/>
      <c r="M28" s="49"/>
      <c r="N28" s="49"/>
      <c r="O28" s="49"/>
    </row>
    <row r="29" spans="1:15" ht="16" customHeight="1">
      <c r="A29" s="108">
        <v>1808</v>
      </c>
      <c r="B29" s="152">
        <f>'E8 -Real GDP 1799-1869'!L18</f>
        <v>0.49450925340081986</v>
      </c>
      <c r="C29" s="66">
        <f>'E5 - GDP deflator 1790-1909'!E25</f>
        <v>129.35501389239707</v>
      </c>
      <c r="D29" s="119">
        <f t="shared" si="0"/>
        <v>0.6449174146709763</v>
      </c>
      <c r="E29" s="119">
        <f t="shared" si="4"/>
        <v>5.7088089546674823</v>
      </c>
      <c r="F29" s="119">
        <f t="shared" si="1"/>
        <v>0.57081964776858651</v>
      </c>
      <c r="G29" s="119">
        <f t="shared" si="2"/>
        <v>0.99185621996269591</v>
      </c>
      <c r="H29" s="119">
        <f t="shared" si="3"/>
        <v>1.001178860595777</v>
      </c>
      <c r="I29" s="152">
        <f t="shared" si="5"/>
        <v>11.439429394375878</v>
      </c>
      <c r="J29"/>
      <c r="K29" s="49"/>
      <c r="L29" s="49"/>
      <c r="M29" s="49"/>
      <c r="N29" s="49"/>
      <c r="O29" s="49"/>
    </row>
    <row r="30" spans="1:15" ht="16" customHeight="1">
      <c r="A30" s="108">
        <v>1809</v>
      </c>
      <c r="B30" s="152">
        <f>'E8 -Real GDP 1799-1869'!L19</f>
        <v>0.53233758823529409</v>
      </c>
      <c r="C30" s="66">
        <f>'E5 - GDP deflator 1790-1909'!E26</f>
        <v>127.73831775700934</v>
      </c>
      <c r="D30" s="119">
        <f t="shared" si="0"/>
        <v>0.63685715121021769</v>
      </c>
      <c r="E30" s="119">
        <f t="shared" si="4"/>
        <v>5.6374595025128471</v>
      </c>
      <c r="F30" s="119">
        <f t="shared" si="1"/>
        <v>0.61448547731047498</v>
      </c>
      <c r="G30" s="119">
        <f t="shared" si="2"/>
        <v>1.0677299653746815</v>
      </c>
      <c r="H30" s="119">
        <f t="shared" si="3"/>
        <v>1.0777657574179422</v>
      </c>
      <c r="I30" s="152">
        <f t="shared" si="5"/>
        <v>12.314508197188553</v>
      </c>
      <c r="J30"/>
      <c r="K30" s="49"/>
      <c r="L30" s="49"/>
      <c r="M30" s="49"/>
      <c r="N30" s="49"/>
      <c r="O30" s="49"/>
    </row>
    <row r="31" spans="1:15" ht="16" customHeight="1">
      <c r="A31" s="108">
        <v>1810</v>
      </c>
      <c r="B31" s="152">
        <f>'E8 -Real GDP 1799-1869'!L20</f>
        <v>0.56183244940220778</v>
      </c>
      <c r="C31" s="66">
        <f>'E5 - GDP deflator 1790-1909'!E27</f>
        <v>124.46230529595016</v>
      </c>
      <c r="D31" s="119">
        <f t="shared" si="0"/>
        <v>0.62052413540169504</v>
      </c>
      <c r="E31" s="119">
        <f t="shared" si="4"/>
        <v>5.4928796465758047</v>
      </c>
      <c r="F31" s="119">
        <f t="shared" si="1"/>
        <v>0.64853184984343659</v>
      </c>
      <c r="G31" s="119">
        <f t="shared" si="2"/>
        <v>1.1268889422879556</v>
      </c>
      <c r="H31" s="119">
        <f t="shared" si="3"/>
        <v>1.1374807805311422</v>
      </c>
      <c r="I31" s="152">
        <f t="shared" si="5"/>
        <v>12.996809649578864</v>
      </c>
      <c r="J31"/>
      <c r="K31" s="49"/>
      <c r="L31" s="49"/>
      <c r="M31" s="49"/>
      <c r="N31" s="49"/>
      <c r="O31" s="49"/>
    </row>
    <row r="32" spans="1:15" ht="16" customHeight="1">
      <c r="A32" s="108">
        <v>1811</v>
      </c>
      <c r="B32" s="152">
        <f>'E8 -Real GDP 1799-1869'!L21</f>
        <v>0.58737618619235232</v>
      </c>
      <c r="C32" s="66">
        <f>'E5 - GDP deflator 1790-1909'!E28</f>
        <v>129.37455586427552</v>
      </c>
      <c r="D32" s="119">
        <f t="shared" si="0"/>
        <v>0.6450148438900084</v>
      </c>
      <c r="E32" s="119">
        <f t="shared" si="4"/>
        <v>5.709671398114355</v>
      </c>
      <c r="F32" s="119">
        <f t="shared" si="1"/>
        <v>0.6780173786519853</v>
      </c>
      <c r="G32" s="119">
        <f t="shared" si="2"/>
        <v>1.1781229971456897</v>
      </c>
      <c r="H32" s="119">
        <f t="shared" si="3"/>
        <v>1.189196393776071</v>
      </c>
      <c r="I32" s="152">
        <f t="shared" si="5"/>
        <v>13.5877101665456</v>
      </c>
      <c r="J32"/>
      <c r="K32" s="49"/>
      <c r="L32" s="49"/>
      <c r="M32" s="49"/>
      <c r="N32" s="49"/>
      <c r="O32" s="49"/>
    </row>
    <row r="33" spans="1:15" ht="16" customHeight="1">
      <c r="A33" s="108">
        <v>1812</v>
      </c>
      <c r="B33" s="152">
        <f>'E8 -Real GDP 1799-1869'!L22</f>
        <v>0.61080815196362648</v>
      </c>
      <c r="C33" s="66">
        <f>'E5 - GDP deflator 1790-1909'!E29</f>
        <v>127.47057337711541</v>
      </c>
      <c r="D33" s="119">
        <f t="shared" si="0"/>
        <v>0.63552227436178321</v>
      </c>
      <c r="E33" s="119">
        <f t="shared" si="4"/>
        <v>5.6256431726505056</v>
      </c>
      <c r="F33" s="119">
        <f t="shared" si="1"/>
        <v>0.70506525764737182</v>
      </c>
      <c r="G33" s="119">
        <f t="shared" si="2"/>
        <v>1.2251213916880732</v>
      </c>
      <c r="H33" s="119">
        <f t="shared" si="3"/>
        <v>1.2366365349484922</v>
      </c>
      <c r="I33" s="152">
        <f t="shared" si="5"/>
        <v>14.129759311568694</v>
      </c>
      <c r="J33"/>
      <c r="K33" s="49"/>
      <c r="L33" s="49"/>
      <c r="M33" s="49"/>
      <c r="N33" s="49"/>
      <c r="O33" s="49"/>
    </row>
    <row r="34" spans="1:15" ht="16" customHeight="1">
      <c r="A34" s="108">
        <v>1813</v>
      </c>
      <c r="B34" s="152">
        <f>'E8 -Real GDP 1799-1869'!L23</f>
        <v>0.64556909159345555</v>
      </c>
      <c r="C34" s="66">
        <f>'E5 - GDP deflator 1790-1909'!E30</f>
        <v>148.71472594089414</v>
      </c>
      <c r="D34" s="119">
        <f t="shared" si="0"/>
        <v>0.7414379519690294</v>
      </c>
      <c r="E34" s="119">
        <f t="shared" si="4"/>
        <v>6.5632087508298484</v>
      </c>
      <c r="F34" s="119">
        <f t="shared" si="1"/>
        <v>0.74519034565967079</v>
      </c>
      <c r="G34" s="119">
        <f t="shared" si="2"/>
        <v>1.294842744618244</v>
      </c>
      <c r="H34" s="119">
        <f t="shared" si="3"/>
        <v>1.3070132118104367</v>
      </c>
      <c r="I34" s="152">
        <f t="shared" si="5"/>
        <v>14.933880390887074</v>
      </c>
      <c r="J34"/>
      <c r="K34" s="49"/>
      <c r="L34" s="49"/>
      <c r="M34" s="49"/>
      <c r="N34" s="49"/>
      <c r="O34" s="49"/>
    </row>
    <row r="35" spans="1:15" ht="16" customHeight="1">
      <c r="A35" s="108">
        <v>1814</v>
      </c>
      <c r="B35" s="152">
        <f>'E8 -Real GDP 1799-1869'!L24</f>
        <v>0.67257958407974505</v>
      </c>
      <c r="C35" s="66">
        <f>'E5 - GDP deflator 1790-1909'!E31</f>
        <v>158.76075608318598</v>
      </c>
      <c r="D35" s="119">
        <f t="shared" si="0"/>
        <v>0.79152383261732762</v>
      </c>
      <c r="E35" s="119">
        <f t="shared" si="4"/>
        <v>7.0065689663285839</v>
      </c>
      <c r="F35" s="119">
        <f t="shared" si="1"/>
        <v>0.7763689731596557</v>
      </c>
      <c r="G35" s="119">
        <f t="shared" si="2"/>
        <v>1.3490187277622179</v>
      </c>
      <c r="H35" s="119">
        <f t="shared" si="3"/>
        <v>1.3616984050713912</v>
      </c>
      <c r="I35" s="152">
        <f t="shared" si="5"/>
        <v>15.558711209682256</v>
      </c>
      <c r="J35"/>
      <c r="K35" s="49"/>
      <c r="L35" s="49"/>
      <c r="M35" s="49"/>
      <c r="N35" s="49"/>
      <c r="O35" s="49"/>
    </row>
    <row r="36" spans="1:15" ht="16" customHeight="1">
      <c r="A36" s="108">
        <v>1815</v>
      </c>
      <c r="B36" s="152">
        <f>'E8 -Real GDP 1799-1869'!L25</f>
        <v>0.67798768793045228</v>
      </c>
      <c r="C36" s="66">
        <f>'E5 - GDP deflator 1790-1909'!E32</f>
        <v>135.10280373831776</v>
      </c>
      <c r="D36" s="119">
        <f t="shared" si="0"/>
        <v>0.67357382044885183</v>
      </c>
      <c r="E36" s="119">
        <f t="shared" si="4"/>
        <v>5.9624754586132367</v>
      </c>
      <c r="F36" s="119">
        <f t="shared" si="1"/>
        <v>0.78261163073163542</v>
      </c>
      <c r="G36" s="119">
        <f t="shared" si="2"/>
        <v>1.3598659695592898</v>
      </c>
      <c r="H36" s="119">
        <f t="shared" si="3"/>
        <v>1.3726476021066307</v>
      </c>
      <c r="I36" s="152">
        <f t="shared" si="5"/>
        <v>15.683816294637005</v>
      </c>
      <c r="J36"/>
      <c r="K36" s="49"/>
      <c r="L36" s="49"/>
      <c r="M36" s="49"/>
      <c r="N36" s="49"/>
      <c r="O36" s="49"/>
    </row>
    <row r="37" spans="1:15" ht="16" customHeight="1">
      <c r="A37" s="108">
        <v>1816</v>
      </c>
      <c r="B37" s="152">
        <f>'E8 -Real GDP 1799-1869'!L26</f>
        <v>0.67794822384744624</v>
      </c>
      <c r="C37" s="66">
        <f>'E5 - GDP deflator 1790-1909'!E33</f>
        <v>119.67738486149699</v>
      </c>
      <c r="D37" s="119">
        <f t="shared" si="0"/>
        <v>0.59666824900705684</v>
      </c>
      <c r="E37" s="119">
        <f t="shared" si="4"/>
        <v>5.2817073402104677</v>
      </c>
      <c r="F37" s="119">
        <f t="shared" si="1"/>
        <v>0.78256607673278478</v>
      </c>
      <c r="G37" s="119">
        <f t="shared" si="2"/>
        <v>1.3597868149308869</v>
      </c>
      <c r="H37" s="119">
        <f t="shared" si="3"/>
        <v>1.3725677034891897</v>
      </c>
      <c r="I37" s="152">
        <f t="shared" si="5"/>
        <v>15.682903376247596</v>
      </c>
      <c r="J37"/>
      <c r="K37" s="49"/>
      <c r="L37" s="49"/>
      <c r="M37" s="49"/>
      <c r="N37" s="49"/>
      <c r="O37" s="49"/>
    </row>
    <row r="38" spans="1:15" ht="16" customHeight="1">
      <c r="A38" s="108">
        <v>1817</v>
      </c>
      <c r="B38" s="152">
        <f>'E8 -Real GDP 1799-1869'!L27</f>
        <v>0.69369771891585441</v>
      </c>
      <c r="C38" s="66">
        <f>'E5 - GDP deflator 1790-1909'!E34</f>
        <v>109.76239791193063</v>
      </c>
      <c r="D38" s="119">
        <f t="shared" si="0"/>
        <v>0.54723570242382291</v>
      </c>
      <c r="E38" s="119">
        <f t="shared" si="4"/>
        <v>4.8441304378556804</v>
      </c>
      <c r="F38" s="119">
        <f t="shared" si="1"/>
        <v>0.80074596146831878</v>
      </c>
      <c r="G38" s="119">
        <f t="shared" si="2"/>
        <v>1.3913761826473507</v>
      </c>
      <c r="H38" s="119">
        <f t="shared" si="3"/>
        <v>1.4044539855336777</v>
      </c>
      <c r="I38" s="152">
        <f t="shared" si="5"/>
        <v>16.047234752441472</v>
      </c>
      <c r="J38"/>
      <c r="K38" s="49"/>
      <c r="L38" s="49"/>
      <c r="M38" s="49"/>
      <c r="N38" s="49"/>
      <c r="O38" s="49"/>
    </row>
    <row r="39" spans="1:15" ht="16" customHeight="1">
      <c r="A39" s="108">
        <v>1818</v>
      </c>
      <c r="B39" s="152">
        <f>'E8 -Real GDP 1799-1869'!L28</f>
        <v>0.71889012130361074</v>
      </c>
      <c r="C39" s="66">
        <f>'E5 - GDP deflator 1790-1909'!E35</f>
        <v>101.57360444556706</v>
      </c>
      <c r="D39" s="119">
        <f t="shared" si="0"/>
        <v>0.50640933355964557</v>
      </c>
      <c r="E39" s="119">
        <f t="shared" si="4"/>
        <v>4.4827354206699823</v>
      </c>
      <c r="F39" s="119">
        <f t="shared" si="1"/>
        <v>0.8298259395648413</v>
      </c>
      <c r="G39" s="119">
        <f t="shared" si="2"/>
        <v>1.4419055525878683</v>
      </c>
      <c r="H39" s="119">
        <f t="shared" si="3"/>
        <v>1.4554582903971109</v>
      </c>
      <c r="I39" s="152">
        <f t="shared" si="5"/>
        <v>16.630007888449622</v>
      </c>
      <c r="J39"/>
      <c r="K39" s="49"/>
      <c r="L39" s="49"/>
      <c r="M39" s="49"/>
      <c r="N39" s="49"/>
      <c r="O39" s="49"/>
    </row>
    <row r="40" spans="1:15" ht="16" customHeight="1">
      <c r="A40" s="108">
        <v>1819</v>
      </c>
      <c r="B40" s="152">
        <f>'E8 -Real GDP 1799-1869'!L29</f>
        <v>0.73280523529411767</v>
      </c>
      <c r="C40" s="66">
        <f>'E5 - GDP deflator 1790-1909'!E36</f>
        <v>98.186915887850461</v>
      </c>
      <c r="D40" s="119">
        <f t="shared" si="0"/>
        <v>0.48952452667651059</v>
      </c>
      <c r="E40" s="119">
        <f t="shared" si="4"/>
        <v>4.3332711101404717</v>
      </c>
      <c r="F40" s="119">
        <f t="shared" si="1"/>
        <v>0.84588836996851013</v>
      </c>
      <c r="G40" s="119">
        <f t="shared" si="2"/>
        <v>1.4698156316572832</v>
      </c>
      <c r="H40" s="119">
        <f t="shared" si="3"/>
        <v>1.4836307014779286</v>
      </c>
      <c r="I40" s="152">
        <f t="shared" si="5"/>
        <v>16.951904724382182</v>
      </c>
      <c r="J40"/>
      <c r="K40" s="49"/>
      <c r="L40" s="49"/>
      <c r="M40" s="49"/>
      <c r="N40" s="49"/>
      <c r="O40" s="49"/>
    </row>
    <row r="41" spans="1:15" ht="16" customHeight="1">
      <c r="A41" s="108">
        <v>1820</v>
      </c>
      <c r="B41" s="152">
        <f>'E8 -Real GDP 1799-1869'!L30</f>
        <v>0.76209575137005581</v>
      </c>
      <c r="C41" s="66">
        <f>'E5 - GDP deflator 1790-1909'!E37</f>
        <v>92.238284379172214</v>
      </c>
      <c r="D41" s="119">
        <f t="shared" si="0"/>
        <v>0.45986679685245951</v>
      </c>
      <c r="E41" s="119">
        <f t="shared" si="4"/>
        <v>4.0707408857379717</v>
      </c>
      <c r="F41" s="119">
        <f t="shared" si="1"/>
        <v>0.87969886381557916</v>
      </c>
      <c r="G41" s="119">
        <f t="shared" si="2"/>
        <v>1.5285647457659504</v>
      </c>
      <c r="H41" s="119">
        <f t="shared" si="3"/>
        <v>1.5429320094099783</v>
      </c>
      <c r="I41" s="152">
        <f t="shared" si="5"/>
        <v>17.629479083752038</v>
      </c>
      <c r="J41"/>
      <c r="K41" s="49"/>
      <c r="L41" s="49"/>
      <c r="M41" s="49"/>
      <c r="N41" s="49"/>
      <c r="O41" s="49"/>
    </row>
    <row r="42" spans="1:15" ht="16" customHeight="1">
      <c r="A42" s="108">
        <v>1821</v>
      </c>
      <c r="B42" s="152">
        <f>'E8 -Real GDP 1799-1869'!L31</f>
        <v>0.80182058463595762</v>
      </c>
      <c r="C42" s="66">
        <f>'E5 - GDP deflator 1790-1909'!E38</f>
        <v>90.657587894971073</v>
      </c>
      <c r="D42" s="119">
        <f t="shared" si="0"/>
        <v>0.4519860146601396</v>
      </c>
      <c r="E42" s="119">
        <f t="shared" si="4"/>
        <v>4.0009802017715561</v>
      </c>
      <c r="F42" s="119">
        <f t="shared" si="1"/>
        <v>0.92555385070725682</v>
      </c>
      <c r="G42" s="119">
        <f t="shared" si="2"/>
        <v>1.6082423709889295</v>
      </c>
      <c r="H42" s="119">
        <f t="shared" si="3"/>
        <v>1.6233585394152243</v>
      </c>
      <c r="I42" s="152">
        <f t="shared" si="5"/>
        <v>18.548429380886933</v>
      </c>
      <c r="J42"/>
      <c r="K42" s="49"/>
      <c r="L42" s="49"/>
      <c r="M42" s="49"/>
      <c r="N42" s="49"/>
      <c r="O42" s="49"/>
    </row>
    <row r="43" spans="1:15" ht="16" customHeight="1">
      <c r="A43" s="108">
        <v>1822</v>
      </c>
      <c r="B43" s="152">
        <f>'E8 -Real GDP 1799-1869'!L32</f>
        <v>0.83456896151264737</v>
      </c>
      <c r="C43" s="66">
        <f>'E5 - GDP deflator 1790-1909'!E39</f>
        <v>95.742890520694246</v>
      </c>
      <c r="D43" s="119">
        <f t="shared" ref="D43:D74" si="6">($D$130/$C$130)*C43</f>
        <v>0.47733949825165328</v>
      </c>
      <c r="E43" s="119">
        <f t="shared" si="4"/>
        <v>4.2254092385236346</v>
      </c>
      <c r="F43" s="119">
        <f t="shared" ref="F43:F74" si="7">B43*C$136</f>
        <v>0.96335580653555997</v>
      </c>
      <c r="G43" s="119">
        <f t="shared" ref="G43:G74" si="8">F43*F$140</f>
        <v>1.6739270494361891</v>
      </c>
      <c r="H43" s="119">
        <f t="shared" ref="H43:H74" si="9">G43*C$144</f>
        <v>1.6896606003418579</v>
      </c>
      <c r="I43" s="152">
        <f t="shared" si="5"/>
        <v>19.305994062406967</v>
      </c>
      <c r="J43"/>
      <c r="K43" s="49"/>
      <c r="L43" s="49"/>
      <c r="M43" s="49"/>
      <c r="N43" s="49"/>
      <c r="O43" s="49"/>
    </row>
    <row r="44" spans="1:15" ht="16" customHeight="1">
      <c r="A44" s="108">
        <v>1823</v>
      </c>
      <c r="B44" s="152">
        <f>'E8 -Real GDP 1799-1869'!L33</f>
        <v>0.86193999011129652</v>
      </c>
      <c r="C44" s="66">
        <f>'E5 - GDP deflator 1790-1909'!E40</f>
        <v>87.123364485981298</v>
      </c>
      <c r="D44" s="119">
        <f t="shared" si="6"/>
        <v>0.43436565225430868</v>
      </c>
      <c r="E44" s="119">
        <f t="shared" si="4"/>
        <v>3.8450047537551404</v>
      </c>
      <c r="F44" s="119">
        <f t="shared" si="7"/>
        <v>0.99495060642311839</v>
      </c>
      <c r="G44" s="119">
        <f t="shared" si="8"/>
        <v>1.7288261737208106</v>
      </c>
      <c r="H44" s="119">
        <f t="shared" si="9"/>
        <v>1.7450757316812073</v>
      </c>
      <c r="I44" s="152">
        <f t="shared" si="5"/>
        <v>19.939165124328238</v>
      </c>
      <c r="J44"/>
      <c r="K44" s="49"/>
      <c r="L44" s="49"/>
      <c r="M44" s="49"/>
      <c r="N44" s="49"/>
      <c r="O44" s="49"/>
    </row>
    <row r="45" spans="1:15" ht="16" customHeight="1">
      <c r="A45" s="108">
        <v>1824</v>
      </c>
      <c r="B45" s="152">
        <f>'E8 -Real GDP 1799-1869'!L34</f>
        <v>0.91365586912145846</v>
      </c>
      <c r="C45" s="66">
        <f>'E5 - GDP deflator 1790-1909'!E41</f>
        <v>81.650422785936811</v>
      </c>
      <c r="D45" s="119">
        <f t="shared" si="6"/>
        <v>0.40707954013828562</v>
      </c>
      <c r="E45" s="119">
        <f t="shared" si="4"/>
        <v>3.6034680893041044</v>
      </c>
      <c r="F45" s="119">
        <f t="shared" si="7"/>
        <v>1.0546470421067919</v>
      </c>
      <c r="G45" s="119">
        <f t="shared" si="8"/>
        <v>1.8325547003647618</v>
      </c>
      <c r="H45" s="119">
        <f t="shared" si="9"/>
        <v>1.849779221992107</v>
      </c>
      <c r="I45" s="152">
        <f t="shared" si="5"/>
        <v>21.135502993511277</v>
      </c>
      <c r="J45"/>
      <c r="K45" s="49"/>
      <c r="L45" s="49"/>
      <c r="M45" s="49"/>
      <c r="N45" s="49"/>
      <c r="O45" s="49"/>
    </row>
    <row r="46" spans="1:15" ht="16" customHeight="1">
      <c r="A46" s="108">
        <v>1825</v>
      </c>
      <c r="B46" s="152">
        <f>'E8 -Real GDP 1799-1869'!L35</f>
        <v>0.95632445641016695</v>
      </c>
      <c r="C46" s="66">
        <f>'E5 - GDP deflator 1790-1909'!E42</f>
        <v>85.240965732087218</v>
      </c>
      <c r="D46" s="119">
        <f t="shared" si="6"/>
        <v>0.42498069143051653</v>
      </c>
      <c r="E46" s="119">
        <f t="shared" si="4"/>
        <v>3.7619290805429326</v>
      </c>
      <c r="F46" s="119">
        <f t="shared" si="7"/>
        <v>1.1039000496075073</v>
      </c>
      <c r="G46" s="119">
        <f t="shared" si="8"/>
        <v>1.9181367261980047</v>
      </c>
      <c r="H46" s="119">
        <f t="shared" si="9"/>
        <v>1.9361656491644113</v>
      </c>
      <c r="I46" s="152">
        <f t="shared" si="5"/>
        <v>22.12255083597362</v>
      </c>
      <c r="J46"/>
      <c r="K46" s="49"/>
      <c r="L46" s="49"/>
      <c r="M46" s="49"/>
      <c r="N46" s="49"/>
      <c r="O46" s="49"/>
    </row>
    <row r="47" spans="1:15" ht="16" customHeight="1">
      <c r="A47" s="108">
        <v>1826</v>
      </c>
      <c r="B47" s="152">
        <f>'E8 -Real GDP 1799-1869'!L36</f>
        <v>0.98953939926851242</v>
      </c>
      <c r="C47" s="66">
        <f>'E5 - GDP deflator 1790-1909'!E43</f>
        <v>86.719859813084099</v>
      </c>
      <c r="D47" s="119">
        <f t="shared" si="6"/>
        <v>0.43235392358124008</v>
      </c>
      <c r="E47" s="119">
        <f t="shared" si="4"/>
        <v>3.8271969315411374</v>
      </c>
      <c r="F47" s="119">
        <f t="shared" si="7"/>
        <v>1.1422405697346139</v>
      </c>
      <c r="G47" s="119">
        <f t="shared" si="8"/>
        <v>1.9847572139708651</v>
      </c>
      <c r="H47" s="119">
        <f t="shared" si="9"/>
        <v>2.0034123152621204</v>
      </c>
      <c r="I47" s="152">
        <f t="shared" si="5"/>
        <v>22.890908538186931</v>
      </c>
      <c r="J47"/>
      <c r="K47" s="49"/>
      <c r="L47" s="49"/>
      <c r="M47" s="49"/>
      <c r="N47" s="49"/>
      <c r="O47" s="49"/>
    </row>
    <row r="48" spans="1:15" ht="16" customHeight="1">
      <c r="A48" s="108">
        <v>1827</v>
      </c>
      <c r="B48" s="152">
        <f>'E8 -Real GDP 1799-1869'!L37</f>
        <v>1.0191529143873033</v>
      </c>
      <c r="C48" s="66">
        <f>'E5 - GDP deflator 1790-1909'!E44</f>
        <v>88.939919893190932</v>
      </c>
      <c r="D48" s="119">
        <f t="shared" si="6"/>
        <v>0.44342234191458535</v>
      </c>
      <c r="E48" s="119">
        <f t="shared" si="4"/>
        <v>3.9251745706279095</v>
      </c>
      <c r="F48" s="119">
        <f t="shared" si="7"/>
        <v>1.1764239063517681</v>
      </c>
      <c r="G48" s="119">
        <f t="shared" si="8"/>
        <v>2.0441541796768323</v>
      </c>
      <c r="H48" s="119">
        <f t="shared" si="9"/>
        <v>2.0633675640688307</v>
      </c>
      <c r="I48" s="152">
        <f t="shared" si="5"/>
        <v>23.575954799689562</v>
      </c>
      <c r="J48"/>
      <c r="K48" s="49"/>
      <c r="L48" s="49"/>
      <c r="M48" s="49"/>
      <c r="N48" s="49"/>
      <c r="O48" s="49"/>
    </row>
    <row r="49" spans="1:15" ht="16" customHeight="1">
      <c r="A49" s="108">
        <v>1828</v>
      </c>
      <c r="B49" s="152">
        <f>'E8 -Real GDP 1799-1869'!L38</f>
        <v>1.033934939446262</v>
      </c>
      <c r="C49" s="66">
        <f>'E5 - GDP deflator 1790-1909'!E45</f>
        <v>85.909679572763693</v>
      </c>
      <c r="D49" s="119">
        <f t="shared" si="6"/>
        <v>0.42831465729938123</v>
      </c>
      <c r="E49" s="119">
        <f t="shared" si="4"/>
        <v>3.7914413464141226</v>
      </c>
      <c r="F49" s="119">
        <f t="shared" si="7"/>
        <v>1.1934870255541545</v>
      </c>
      <c r="G49" s="119">
        <f t="shared" si="8"/>
        <v>2.073803055602899</v>
      </c>
      <c r="H49" s="119">
        <f t="shared" si="9"/>
        <v>2.0932951152805592</v>
      </c>
      <c r="I49" s="152">
        <f t="shared" si="5"/>
        <v>23.917905796167265</v>
      </c>
      <c r="J49"/>
      <c r="K49" s="49"/>
      <c r="L49" s="49"/>
      <c r="M49" s="49"/>
      <c r="N49" s="49"/>
      <c r="O49" s="49"/>
    </row>
    <row r="50" spans="1:15" ht="16" customHeight="1">
      <c r="A50" s="108">
        <v>1829</v>
      </c>
      <c r="B50" s="152">
        <f>'E8 -Real GDP 1799-1869'!L39</f>
        <v>1.0730841176470589</v>
      </c>
      <c r="C50" s="66">
        <f>'E5 - GDP deflator 1790-1909'!E46</f>
        <v>85.794392523364479</v>
      </c>
      <c r="D50" s="119">
        <f t="shared" si="6"/>
        <v>0.42773987767850441</v>
      </c>
      <c r="E50" s="119">
        <f t="shared" si="4"/>
        <v>3.7863533972101213</v>
      </c>
      <c r="F50" s="119">
        <f t="shared" si="7"/>
        <v>1.2386775249377833</v>
      </c>
      <c r="G50" s="119">
        <f t="shared" si="8"/>
        <v>2.1523260673318925</v>
      </c>
      <c r="H50" s="119">
        <f t="shared" si="9"/>
        <v>2.1725561793653712</v>
      </c>
      <c r="I50" s="152">
        <f t="shared" si="5"/>
        <v>24.823539526569597</v>
      </c>
      <c r="J50"/>
      <c r="K50" s="49"/>
      <c r="L50" s="49"/>
      <c r="M50" s="49"/>
      <c r="N50" s="49"/>
      <c r="O50" s="49"/>
    </row>
    <row r="51" spans="1:15" ht="16" customHeight="1">
      <c r="A51" s="108">
        <v>1830</v>
      </c>
      <c r="B51" s="152">
        <f>'E8 -Real GDP 1799-1869'!L40</f>
        <v>1.1710497094979919</v>
      </c>
      <c r="C51" s="66">
        <f>'E5 - GDP deflator 1790-1909'!E47</f>
        <v>86.35353606948037</v>
      </c>
      <c r="D51" s="119">
        <f t="shared" si="6"/>
        <v>0.43052756560292443</v>
      </c>
      <c r="E51" s="119">
        <f t="shared" si="4"/>
        <v>3.8110300107170874</v>
      </c>
      <c r="F51" s="119">
        <f t="shared" si="7"/>
        <v>1.3517607165044023</v>
      </c>
      <c r="G51" s="119">
        <f t="shared" si="8"/>
        <v>2.3488194209980495</v>
      </c>
      <c r="H51" s="119">
        <f t="shared" si="9"/>
        <v>2.370896410518557</v>
      </c>
      <c r="I51" s="152">
        <f t="shared" si="5"/>
        <v>27.089767030605085</v>
      </c>
      <c r="J51"/>
      <c r="K51" s="49"/>
      <c r="L51" s="49"/>
      <c r="M51" s="49"/>
      <c r="N51" s="49"/>
      <c r="O51" s="49"/>
    </row>
    <row r="52" spans="1:15" ht="16" customHeight="1">
      <c r="A52" s="108">
        <v>1831</v>
      </c>
      <c r="B52" s="152">
        <f>'E8 -Real GDP 1799-1869'!L41</f>
        <v>1.2692841491989255</v>
      </c>
      <c r="C52" s="66">
        <f>'E5 - GDP deflator 1790-1909'!E48</f>
        <v>82.149413528386006</v>
      </c>
      <c r="D52" s="119">
        <f t="shared" si="6"/>
        <v>0.40956732789294331</v>
      </c>
      <c r="E52" s="119">
        <f t="shared" si="4"/>
        <v>3.6254899865083345</v>
      </c>
      <c r="F52" s="119">
        <f t="shared" si="7"/>
        <v>1.4651542432851459</v>
      </c>
      <c r="G52" s="119">
        <f t="shared" si="8"/>
        <v>2.5458520131322695</v>
      </c>
      <c r="H52" s="119">
        <f t="shared" si="9"/>
        <v>2.5697809485422134</v>
      </c>
      <c r="I52" s="152">
        <f t="shared" si="5"/>
        <v>29.362213763050882</v>
      </c>
      <c r="J52"/>
      <c r="K52" s="49"/>
      <c r="L52" s="49"/>
      <c r="M52" s="49"/>
      <c r="N52" s="49"/>
      <c r="O52" s="49"/>
    </row>
    <row r="53" spans="1:15" ht="16" customHeight="1">
      <c r="A53" s="108">
        <v>1832</v>
      </c>
      <c r="B53" s="152">
        <f>'E8 -Real GDP 1799-1869'!L42</f>
        <v>1.3549874068542356</v>
      </c>
      <c r="C53" s="66">
        <f>'E5 - GDP deflator 1790-1909'!E49</f>
        <v>82.589172848562086</v>
      </c>
      <c r="D53" s="119">
        <f t="shared" si="6"/>
        <v>0.41175980915293792</v>
      </c>
      <c r="E53" s="119">
        <f t="shared" si="4"/>
        <v>3.6448978306218067</v>
      </c>
      <c r="F53" s="119">
        <f t="shared" si="7"/>
        <v>1.5640828336219015</v>
      </c>
      <c r="G53" s="119">
        <f t="shared" si="8"/>
        <v>2.7177503317014162</v>
      </c>
      <c r="H53" s="119">
        <f t="shared" si="9"/>
        <v>2.7432949713003314</v>
      </c>
      <c r="I53" s="152">
        <f t="shared" si="5"/>
        <v>31.344778008458995</v>
      </c>
      <c r="J53"/>
      <c r="K53" s="49"/>
      <c r="L53" s="49"/>
      <c r="M53" s="49"/>
      <c r="N53" s="49"/>
      <c r="O53" s="49"/>
    </row>
    <row r="54" spans="1:15" ht="16" customHeight="1">
      <c r="A54" s="108">
        <v>1833</v>
      </c>
      <c r="B54" s="152">
        <f>'E8 -Real GDP 1799-1869'!L43</f>
        <v>1.3969394441846905</v>
      </c>
      <c r="C54" s="66">
        <f>'E5 - GDP deflator 1790-1909'!E50</f>
        <v>82.191280271358565</v>
      </c>
      <c r="D54" s="119">
        <f t="shared" si="6"/>
        <v>0.40977606036357656</v>
      </c>
      <c r="E54" s="119">
        <f t="shared" si="4"/>
        <v>3.6273376863383797</v>
      </c>
      <c r="F54" s="119">
        <f t="shared" si="7"/>
        <v>1.6125087164693046</v>
      </c>
      <c r="G54" s="119">
        <f t="shared" si="8"/>
        <v>2.8018951457370638</v>
      </c>
      <c r="H54" s="119">
        <f t="shared" si="9"/>
        <v>2.8282306780547053</v>
      </c>
      <c r="I54" s="152">
        <f t="shared" si="5"/>
        <v>32.315249977773142</v>
      </c>
      <c r="J54"/>
      <c r="K54" s="49"/>
      <c r="L54" s="49"/>
      <c r="M54" s="49"/>
      <c r="N54" s="49"/>
      <c r="O54" s="49"/>
    </row>
    <row r="55" spans="1:15" ht="16" customHeight="1">
      <c r="A55" s="108">
        <v>1834</v>
      </c>
      <c r="B55" s="152">
        <f>'E8 -Real GDP 1799-1869'!L44</f>
        <v>1.4201147523780393</v>
      </c>
      <c r="C55" s="66">
        <f>'E5 - GDP deflator 1790-1909'!E51</f>
        <v>85.048487902921693</v>
      </c>
      <c r="D55" s="119">
        <f t="shared" si="6"/>
        <v>0.42402106644009929</v>
      </c>
      <c r="E55" s="119">
        <f t="shared" si="4"/>
        <v>3.7534344801277593</v>
      </c>
      <c r="F55" s="119">
        <f t="shared" si="7"/>
        <v>1.6392603316693808</v>
      </c>
      <c r="G55" s="119">
        <f t="shared" si="8"/>
        <v>2.8483787523087161</v>
      </c>
      <c r="H55" s="119">
        <f t="shared" si="9"/>
        <v>2.8751511926687483</v>
      </c>
      <c r="I55" s="152">
        <f t="shared" si="5"/>
        <v>32.851361890639261</v>
      </c>
      <c r="J55"/>
      <c r="K55" s="49"/>
      <c r="L55" s="49"/>
      <c r="M55" s="49"/>
      <c r="N55" s="49"/>
      <c r="O55" s="49"/>
    </row>
    <row r="56" spans="1:15" ht="16" customHeight="1">
      <c r="A56" s="108">
        <v>1835</v>
      </c>
      <c r="B56" s="152">
        <f>'E8 -Real GDP 1799-1869'!L45</f>
        <v>1.4976607206009453</v>
      </c>
      <c r="C56" s="66">
        <f>'E5 - GDP deflator 1790-1909'!E52</f>
        <v>88.791101122240363</v>
      </c>
      <c r="D56" s="119">
        <f t="shared" si="6"/>
        <v>0.44268038523174824</v>
      </c>
      <c r="E56" s="119">
        <f t="shared" si="4"/>
        <v>3.9186067700714355</v>
      </c>
      <c r="F56" s="119">
        <f t="shared" si="7"/>
        <v>1.728772837173489</v>
      </c>
      <c r="G56" s="119">
        <f t="shared" si="8"/>
        <v>3.0039156818726545</v>
      </c>
      <c r="H56" s="119">
        <f t="shared" si="9"/>
        <v>3.032150042690827</v>
      </c>
      <c r="I56" s="152">
        <f t="shared" si="5"/>
        <v>34.64522443659537</v>
      </c>
      <c r="J56"/>
      <c r="K56" s="49"/>
      <c r="L56" s="49"/>
      <c r="M56" s="49"/>
      <c r="N56" s="49"/>
      <c r="O56" s="49"/>
    </row>
    <row r="57" spans="1:15" ht="16" customHeight="1">
      <c r="A57" s="108">
        <v>1836</v>
      </c>
      <c r="B57" s="152">
        <f>'E8 -Real GDP 1799-1869'!L46</f>
        <v>1.5407182839437554</v>
      </c>
      <c r="C57" s="66">
        <f>'E5 - GDP deflator 1790-1909'!E53</f>
        <v>95.154115837043733</v>
      </c>
      <c r="D57" s="119">
        <f t="shared" si="6"/>
        <v>0.47440408016944841</v>
      </c>
      <c r="E57" s="119">
        <f t="shared" si="4"/>
        <v>4.1994249176599574</v>
      </c>
      <c r="F57" s="119">
        <f t="shared" si="7"/>
        <v>1.7784748457245703</v>
      </c>
      <c r="G57" s="119">
        <f t="shared" si="8"/>
        <v>3.0902778919310134</v>
      </c>
      <c r="H57" s="119">
        <f t="shared" si="9"/>
        <v>3.1193239871845289</v>
      </c>
      <c r="I57" s="152">
        <f t="shared" si="5"/>
        <v>35.641270420298547</v>
      </c>
      <c r="J57"/>
      <c r="K57" s="49"/>
      <c r="L57" s="49"/>
      <c r="M57" s="49"/>
      <c r="N57" s="49"/>
      <c r="O57" s="49"/>
    </row>
    <row r="58" spans="1:15" ht="16" customHeight="1">
      <c r="A58" s="108">
        <v>1837</v>
      </c>
      <c r="B58" s="152">
        <f>'E8 -Real GDP 1799-1869'!L47</f>
        <v>1.5562500081367372</v>
      </c>
      <c r="C58" s="66">
        <f>'E5 - GDP deflator 1790-1909'!E54</f>
        <v>99.075805395272099</v>
      </c>
      <c r="D58" s="119">
        <f t="shared" si="6"/>
        <v>0.4939562089577354</v>
      </c>
      <c r="E58" s="119">
        <f t="shared" si="4"/>
        <v>4.3725003616938736</v>
      </c>
      <c r="F58" s="119">
        <f t="shared" si="7"/>
        <v>1.7964033541844324</v>
      </c>
      <c r="G58" s="119">
        <f t="shared" si="8"/>
        <v>3.1214304682308698</v>
      </c>
      <c r="H58" s="119">
        <f t="shared" si="9"/>
        <v>3.1507693723288459</v>
      </c>
      <c r="I58" s="152">
        <f t="shared" si="5"/>
        <v>36.000564126243667</v>
      </c>
      <c r="J58"/>
      <c r="K58" s="49"/>
      <c r="L58" s="49"/>
      <c r="M58" s="49"/>
      <c r="N58" s="49"/>
      <c r="O58" s="49"/>
    </row>
    <row r="59" spans="1:15" ht="16" customHeight="1">
      <c r="A59" s="108">
        <v>1838</v>
      </c>
      <c r="B59" s="152">
        <f>'E8 -Real GDP 1799-1869'!L48</f>
        <v>1.6204632803386256</v>
      </c>
      <c r="C59" s="66">
        <f>'E5 - GDP deflator 1790-1909'!E55</f>
        <v>97.828322498094948</v>
      </c>
      <c r="D59" s="119">
        <f t="shared" si="6"/>
        <v>0.48773670945257525</v>
      </c>
      <c r="E59" s="119">
        <f t="shared" si="4"/>
        <v>4.3174453520741967</v>
      </c>
      <c r="F59" s="119">
        <f t="shared" si="7"/>
        <v>1.8705257233176156</v>
      </c>
      <c r="G59" s="119">
        <f t="shared" si="8"/>
        <v>3.250225496836689</v>
      </c>
      <c r="H59" s="119">
        <f t="shared" si="9"/>
        <v>3.2807749693042063</v>
      </c>
      <c r="I59" s="152">
        <f t="shared" si="5"/>
        <v>37.486002848539833</v>
      </c>
      <c r="J59"/>
      <c r="K59" s="49"/>
      <c r="L59" s="49"/>
      <c r="M59" s="49"/>
      <c r="N59" s="49"/>
      <c r="O59" s="49"/>
    </row>
    <row r="60" spans="1:15" ht="16" customHeight="1">
      <c r="A60" s="108">
        <v>1839</v>
      </c>
      <c r="B60" s="152">
        <f>'E8 -Real GDP 1799-1869'!L49</f>
        <v>1.6646648890403741</v>
      </c>
      <c r="C60" s="66">
        <f>'E5 - GDP deflator 1790-1909'!E56</f>
        <v>99.165425828620556</v>
      </c>
      <c r="D60" s="119">
        <f t="shared" si="6"/>
        <v>0.49440302409413867</v>
      </c>
      <c r="E60" s="119">
        <f t="shared" si="4"/>
        <v>4.3764555692813154</v>
      </c>
      <c r="F60" s="119">
        <f t="shared" si="7"/>
        <v>1.921548321047422</v>
      </c>
      <c r="G60" s="119">
        <f t="shared" si="8"/>
        <v>3.3388823626520003</v>
      </c>
      <c r="H60" s="119">
        <f t="shared" si="9"/>
        <v>3.3702651374500534</v>
      </c>
      <c r="I60" s="152">
        <f t="shared" si="5"/>
        <v>38.508513910535342</v>
      </c>
      <c r="J60"/>
      <c r="K60" s="49"/>
      <c r="L60" s="49"/>
      <c r="M60" s="49"/>
      <c r="N60" s="49"/>
      <c r="O60" s="49"/>
    </row>
    <row r="61" spans="1:15" ht="16" customHeight="1">
      <c r="A61" s="108">
        <v>1840</v>
      </c>
      <c r="B61" s="152">
        <f>'E8 -Real GDP 1799-1869'!L50</f>
        <v>1.6622955369461385</v>
      </c>
      <c r="C61" s="66">
        <f>'E5 - GDP deflator 1790-1909'!E57</f>
        <v>93.682117215111134</v>
      </c>
      <c r="D61" s="119">
        <f t="shared" si="6"/>
        <v>0.4670652262890283</v>
      </c>
      <c r="E61" s="119">
        <f t="shared" si="4"/>
        <v>4.1344613831104784</v>
      </c>
      <c r="F61" s="119">
        <f t="shared" si="7"/>
        <v>1.9188133414316308</v>
      </c>
      <c r="G61" s="119">
        <f t="shared" si="8"/>
        <v>3.3341300620716017</v>
      </c>
      <c r="H61" s="119">
        <f t="shared" si="9"/>
        <v>3.3654681691147927</v>
      </c>
      <c r="I61" s="152">
        <f t="shared" si="5"/>
        <v>38.45370394326774</v>
      </c>
      <c r="J61"/>
      <c r="K61" s="49"/>
      <c r="L61" s="49"/>
      <c r="M61" s="49"/>
      <c r="N61" s="49"/>
      <c r="O61" s="49"/>
    </row>
    <row r="62" spans="1:15" ht="16" customHeight="1">
      <c r="A62" s="108">
        <v>1841</v>
      </c>
      <c r="B62" s="152">
        <f>'E8 -Real GDP 1799-1869'!L51</f>
        <v>1.7088402452397013</v>
      </c>
      <c r="C62" s="66">
        <f>'E5 - GDP deflator 1790-1909'!E58</f>
        <v>96.198226893104192</v>
      </c>
      <c r="D62" s="119">
        <f t="shared" si="6"/>
        <v>0.47960964107228304</v>
      </c>
      <c r="E62" s="119">
        <f t="shared" si="4"/>
        <v>4.2455045427718501</v>
      </c>
      <c r="F62" s="119">
        <f t="shared" si="7"/>
        <v>1.9725406151093352</v>
      </c>
      <c r="G62" s="119">
        <f t="shared" si="8"/>
        <v>3.4274865728139807</v>
      </c>
      <c r="H62" s="119">
        <f t="shared" si="9"/>
        <v>3.4597021550223146</v>
      </c>
      <c r="I62" s="152">
        <f t="shared" si="5"/>
        <v>39.530417676214746</v>
      </c>
      <c r="J62"/>
      <c r="K62" s="49"/>
      <c r="L62" s="49"/>
      <c r="M62" s="49"/>
      <c r="N62" s="49"/>
      <c r="O62" s="49"/>
    </row>
    <row r="63" spans="1:15" ht="16" customHeight="1">
      <c r="A63" s="108">
        <v>1842</v>
      </c>
      <c r="B63" s="152">
        <f>'E8 -Real GDP 1799-1869'!L52</f>
        <v>1.7665357026399411</v>
      </c>
      <c r="C63" s="66">
        <f>'E5 - GDP deflator 1790-1909'!E59</f>
        <v>91.292643850324353</v>
      </c>
      <c r="D63" s="119">
        <f t="shared" si="6"/>
        <v>0.45515217446001044</v>
      </c>
      <c r="E63" s="119">
        <f t="shared" si="4"/>
        <v>4.0290070483200129</v>
      </c>
      <c r="F63" s="119">
        <f t="shared" si="7"/>
        <v>2.0391393702277925</v>
      </c>
      <c r="G63" s="119">
        <f t="shared" si="8"/>
        <v>3.5432085697078124</v>
      </c>
      <c r="H63" s="119">
        <f t="shared" si="9"/>
        <v>3.5765118444351529</v>
      </c>
      <c r="I63" s="152">
        <f t="shared" si="5"/>
        <v>40.865080489432735</v>
      </c>
      <c r="J63"/>
      <c r="K63" s="49"/>
      <c r="L63" s="49"/>
      <c r="M63" s="49"/>
      <c r="N63" s="49"/>
      <c r="O63" s="49"/>
    </row>
    <row r="64" spans="1:15" ht="16" customHeight="1">
      <c r="A64" s="108">
        <v>1843</v>
      </c>
      <c r="B64" s="152">
        <f>'E8 -Real GDP 1799-1869'!L53</f>
        <v>1.8539293937834405</v>
      </c>
      <c r="C64" s="66">
        <f>'E5 - GDP deflator 1790-1909'!E60</f>
        <v>84.277801613304902</v>
      </c>
      <c r="D64" s="119">
        <f t="shared" si="6"/>
        <v>0.42017870274296826</v>
      </c>
      <c r="E64" s="119">
        <f t="shared" si="4"/>
        <v>3.7194218766807552</v>
      </c>
      <c r="F64" s="119">
        <f t="shared" si="7"/>
        <v>2.140019253976488</v>
      </c>
      <c r="G64" s="119">
        <f t="shared" si="8"/>
        <v>3.7184974557095454</v>
      </c>
      <c r="H64" s="119">
        <f t="shared" si="9"/>
        <v>3.7534483031982169</v>
      </c>
      <c r="I64" s="152">
        <f t="shared" si="5"/>
        <v>42.886749350985106</v>
      </c>
      <c r="J64"/>
      <c r="K64" s="49"/>
      <c r="L64" s="49"/>
      <c r="M64" s="49"/>
      <c r="N64" s="49"/>
      <c r="O64" s="49"/>
    </row>
    <row r="65" spans="1:15" ht="16" customHeight="1">
      <c r="A65" s="108">
        <v>1844</v>
      </c>
      <c r="B65" s="152">
        <f>'E8 -Real GDP 1799-1869'!L54</f>
        <v>1.9690974816628919</v>
      </c>
      <c r="C65" s="66">
        <f>'E5 - GDP deflator 1790-1909'!E61</f>
        <v>86.60930328108239</v>
      </c>
      <c r="D65" s="119">
        <f t="shared" si="6"/>
        <v>0.43180272861284991</v>
      </c>
      <c r="E65" s="119">
        <f t="shared" si="4"/>
        <v>3.8223177536809474</v>
      </c>
      <c r="F65" s="119">
        <f t="shared" si="7"/>
        <v>2.2729595516664181</v>
      </c>
      <c r="G65" s="119">
        <f t="shared" si="8"/>
        <v>3.9494945169755682</v>
      </c>
      <c r="H65" s="119">
        <f t="shared" si="9"/>
        <v>3.986616548700562</v>
      </c>
      <c r="I65" s="152">
        <f t="shared" si="5"/>
        <v>45.550920346212997</v>
      </c>
      <c r="J65"/>
      <c r="K65" s="49"/>
      <c r="L65" s="49"/>
      <c r="M65" s="49"/>
      <c r="N65" s="49"/>
      <c r="O65" s="49"/>
    </row>
    <row r="66" spans="1:15" ht="16" customHeight="1">
      <c r="A66" s="108">
        <v>1845</v>
      </c>
      <c r="B66" s="152">
        <f>'E8 -Real GDP 1799-1869'!L55</f>
        <v>2.0909861432103094</v>
      </c>
      <c r="C66" s="66">
        <f>'E5 - GDP deflator 1790-1909'!E62</f>
        <v>88.971572950562461</v>
      </c>
      <c r="D66" s="119">
        <f t="shared" si="6"/>
        <v>0.44358015263496037</v>
      </c>
      <c r="E66" s="119">
        <f t="shared" si="4"/>
        <v>3.9265715111246693</v>
      </c>
      <c r="F66" s="119">
        <f t="shared" si="7"/>
        <v>2.4136575110534122</v>
      </c>
      <c r="G66" s="119">
        <f t="shared" si="8"/>
        <v>4.1939712912064095</v>
      </c>
      <c r="H66" s="119">
        <f t="shared" si="9"/>
        <v>4.2333912054908076</v>
      </c>
      <c r="I66" s="152">
        <f t="shared" si="5"/>
        <v>48.370557649575041</v>
      </c>
      <c r="J66"/>
      <c r="K66" s="49"/>
      <c r="L66" s="49"/>
      <c r="M66" s="49"/>
      <c r="N66" s="49"/>
      <c r="O66" s="49"/>
    </row>
    <row r="67" spans="1:15" ht="16" customHeight="1">
      <c r="A67" s="108">
        <v>1846</v>
      </c>
      <c r="B67" s="152">
        <f>'E8 -Real GDP 1799-1869'!L56</f>
        <v>2.265465492039195</v>
      </c>
      <c r="C67" s="66">
        <f>'E5 - GDP deflator 1790-1909'!E63</f>
        <v>91.364610621745115</v>
      </c>
      <c r="D67" s="119">
        <f t="shared" si="6"/>
        <v>0.45551097480929958</v>
      </c>
      <c r="E67" s="119">
        <f t="shared" si="4"/>
        <v>4.03218314901192</v>
      </c>
      <c r="F67" s="119">
        <f t="shared" si="7"/>
        <v>2.6150617107856871</v>
      </c>
      <c r="G67" s="119">
        <f t="shared" si="8"/>
        <v>4.5439312286612097</v>
      </c>
      <c r="H67" s="119">
        <f t="shared" si="9"/>
        <v>4.5866404813267181</v>
      </c>
      <c r="I67" s="152">
        <f t="shared" si="5"/>
        <v>52.406769667809847</v>
      </c>
      <c r="J67"/>
      <c r="K67" s="49"/>
      <c r="L67" s="49"/>
      <c r="M67" s="49"/>
      <c r="N67" s="49"/>
      <c r="O67" s="49"/>
    </row>
    <row r="68" spans="1:15" ht="16" customHeight="1">
      <c r="A68" s="108">
        <v>1847</v>
      </c>
      <c r="B68" s="152">
        <f>'E8 -Real GDP 1799-1869'!L57</f>
        <v>2.4296228974753902</v>
      </c>
      <c r="C68" s="66">
        <f>'E5 - GDP deflator 1790-1909'!E64</f>
        <v>99.839281862025899</v>
      </c>
      <c r="D68" s="119">
        <f t="shared" si="6"/>
        <v>0.49776262708011737</v>
      </c>
      <c r="E68" s="119">
        <f t="shared" si="4"/>
        <v>4.4061947749131996</v>
      </c>
      <c r="F68" s="119">
        <f t="shared" si="7"/>
        <v>2.8045511322783581</v>
      </c>
      <c r="G68" s="119">
        <f t="shared" si="8"/>
        <v>4.8731880474468747</v>
      </c>
      <c r="H68" s="119">
        <f t="shared" si="9"/>
        <v>4.91899204604002</v>
      </c>
      <c r="I68" s="152">
        <f t="shared" si="5"/>
        <v>56.204205279250687</v>
      </c>
      <c r="J68"/>
      <c r="K68" s="49"/>
      <c r="L68" s="49"/>
      <c r="M68" s="49"/>
      <c r="N68" s="49"/>
      <c r="O68" s="49"/>
    </row>
    <row r="69" spans="1:15" ht="16" customHeight="1">
      <c r="A69" s="108">
        <v>1848</v>
      </c>
      <c r="B69" s="152">
        <f>'E8 -Real GDP 1799-1869'!L58</f>
        <v>2.5136628084080819</v>
      </c>
      <c r="C69" s="66">
        <f>'E5 - GDP deflator 1790-1909'!E65</f>
        <v>97.266851564635445</v>
      </c>
      <c r="D69" s="119">
        <f t="shared" si="6"/>
        <v>0.48493741801482071</v>
      </c>
      <c r="E69" s="119">
        <f t="shared" si="4"/>
        <v>4.2926660242671932</v>
      </c>
      <c r="F69" s="119">
        <f t="shared" si="7"/>
        <v>2.9015596958738699</v>
      </c>
      <c r="G69" s="119">
        <f t="shared" si="8"/>
        <v>5.0417501275504364</v>
      </c>
      <c r="H69" s="119">
        <f t="shared" si="9"/>
        <v>5.0891384724082336</v>
      </c>
      <c r="I69" s="152">
        <f t="shared" si="5"/>
        <v>58.148291503750379</v>
      </c>
      <c r="J69"/>
      <c r="K69" s="49"/>
      <c r="L69" s="49"/>
      <c r="M69" s="49"/>
      <c r="N69" s="49"/>
      <c r="O69" s="49"/>
    </row>
    <row r="70" spans="1:15" ht="16" customHeight="1">
      <c r="A70" s="108">
        <v>1849</v>
      </c>
      <c r="B70" s="152">
        <f>'E8 -Real GDP 1799-1869'!L59</f>
        <v>2.5487707020540031</v>
      </c>
      <c r="C70" s="66">
        <f>'E5 - GDP deflator 1790-1909'!E66</f>
        <v>95.610594856703131</v>
      </c>
      <c r="D70" s="119">
        <f t="shared" si="6"/>
        <v>0.47667991981687918</v>
      </c>
      <c r="E70" s="119">
        <f t="shared" si="4"/>
        <v>4.2195706502190147</v>
      </c>
      <c r="F70" s="119">
        <f t="shared" si="7"/>
        <v>2.9420852782508256</v>
      </c>
      <c r="G70" s="119">
        <f t="shared" si="8"/>
        <v>5.1121673794886346</v>
      </c>
      <c r="H70" s="119">
        <f t="shared" si="9"/>
        <v>5.1602175891620945</v>
      </c>
      <c r="I70" s="152">
        <f t="shared" si="5"/>
        <v>58.9604386330221</v>
      </c>
      <c r="J70"/>
      <c r="K70" s="49"/>
      <c r="L70" s="49"/>
      <c r="M70" s="49"/>
      <c r="N70" s="49"/>
      <c r="O70" s="49"/>
    </row>
    <row r="71" spans="1:15" ht="16" customHeight="1">
      <c r="A71" s="108">
        <v>1850</v>
      </c>
      <c r="B71" s="152">
        <f>'E8 -Real GDP 1799-1869'!L60</f>
        <v>2.667656089871584</v>
      </c>
      <c r="C71" s="66">
        <f>'E5 - GDP deflator 1790-1909'!E67</f>
        <v>97.50717369898365</v>
      </c>
      <c r="D71" s="119">
        <f t="shared" si="6"/>
        <v>0.48613557744373148</v>
      </c>
      <c r="E71" s="119">
        <f t="shared" si="4"/>
        <v>4.3032721315319113</v>
      </c>
      <c r="F71" s="119">
        <f t="shared" si="7"/>
        <v>3.0793165125142181</v>
      </c>
      <c r="G71" s="119">
        <f t="shared" si="8"/>
        <v>5.3506203721447054</v>
      </c>
      <c r="H71" s="119">
        <f t="shared" si="9"/>
        <v>5.4009118457369407</v>
      </c>
      <c r="I71" s="152">
        <f t="shared" si="5"/>
        <v>61.7106015280729</v>
      </c>
      <c r="J71"/>
      <c r="K71" s="49"/>
      <c r="L71" s="49"/>
      <c r="M71" s="49"/>
      <c r="N71" s="49"/>
      <c r="O71" s="49"/>
    </row>
    <row r="72" spans="1:15" ht="16" customHeight="1">
      <c r="A72" s="108">
        <v>1851</v>
      </c>
      <c r="B72" s="152">
        <f>'E8 -Real GDP 1799-1869'!L61</f>
        <v>2.8787103955491489</v>
      </c>
      <c r="C72" s="66">
        <f>'E5 - GDP deflator 1790-1909'!E68</f>
        <v>95.254511107264847</v>
      </c>
      <c r="D72" s="119">
        <f t="shared" si="6"/>
        <v>0.47490461475382911</v>
      </c>
      <c r="E72" s="119">
        <f t="shared" si="4"/>
        <v>4.2038556498008957</v>
      </c>
      <c r="F72" s="119">
        <f t="shared" si="7"/>
        <v>3.3229397482745044</v>
      </c>
      <c r="G72" s="119">
        <f t="shared" si="8"/>
        <v>5.7739401066017795</v>
      </c>
      <c r="H72" s="119">
        <f t="shared" si="9"/>
        <v>5.8282104409177826</v>
      </c>
      <c r="I72" s="152">
        <f t="shared" si="5"/>
        <v>66.592898090925303</v>
      </c>
      <c r="J72"/>
      <c r="K72" s="49"/>
      <c r="L72" s="49"/>
      <c r="M72" s="49"/>
      <c r="N72" s="49"/>
      <c r="O72" s="49"/>
    </row>
    <row r="73" spans="1:15" ht="16" customHeight="1">
      <c r="A73" s="108">
        <v>1852</v>
      </c>
      <c r="B73" s="152">
        <f>'E8 -Real GDP 1799-1869'!L62</f>
        <v>3.2036358388201718</v>
      </c>
      <c r="C73" s="66">
        <f>'E5 - GDP deflator 1790-1909'!E69</f>
        <v>96.10990911550816</v>
      </c>
      <c r="D73" s="119">
        <f t="shared" si="6"/>
        <v>0.47916932050732913</v>
      </c>
      <c r="E73" s="119">
        <f t="shared" si="4"/>
        <v>4.2416068251308774</v>
      </c>
      <c r="F73" s="119">
        <f t="shared" si="7"/>
        <v>3.6980061920336129</v>
      </c>
      <c r="G73" s="119">
        <f t="shared" si="8"/>
        <v>6.4256555592776063</v>
      </c>
      <c r="H73" s="119">
        <f t="shared" si="9"/>
        <v>6.4860514880477647</v>
      </c>
      <c r="I73" s="152">
        <f t="shared" si="5"/>
        <v>74.109363437474457</v>
      </c>
      <c r="J73"/>
      <c r="K73" s="49"/>
      <c r="L73" s="49"/>
      <c r="M73" s="49"/>
      <c r="N73" s="49"/>
      <c r="O73" s="49"/>
    </row>
    <row r="74" spans="1:15" ht="16" customHeight="1">
      <c r="A74" s="108">
        <v>1853</v>
      </c>
      <c r="B74" s="152">
        <f>'E8 -Real GDP 1799-1869'!L63</f>
        <v>3.4545483069131153</v>
      </c>
      <c r="C74" s="66">
        <f>'E5 - GDP deflator 1790-1909'!E70</f>
        <v>95.929932003020312</v>
      </c>
      <c r="D74" s="119">
        <f t="shared" si="6"/>
        <v>0.47827201957872217</v>
      </c>
      <c r="E74" s="119">
        <f t="shared" si="4"/>
        <v>4.2336639173108486</v>
      </c>
      <c r="F74" s="119">
        <f t="shared" si="7"/>
        <v>3.9876383185763902</v>
      </c>
      <c r="G74" s="119">
        <f t="shared" si="8"/>
        <v>6.9289203423583361</v>
      </c>
      <c r="H74" s="119">
        <f t="shared" si="9"/>
        <v>6.9940465501966873</v>
      </c>
      <c r="I74" s="152">
        <f t="shared" si="5"/>
        <v>79.913694586342402</v>
      </c>
      <c r="J74"/>
      <c r="K74" s="49"/>
      <c r="L74" s="49"/>
      <c r="M74" s="49"/>
      <c r="N74" s="49"/>
      <c r="O74" s="49"/>
    </row>
    <row r="75" spans="1:15" ht="16" customHeight="1">
      <c r="A75" s="108">
        <v>1854</v>
      </c>
      <c r="B75" s="152">
        <f>'E8 -Real GDP 1799-1869'!L64</f>
        <v>3.5695343637018606</v>
      </c>
      <c r="C75" s="66">
        <f>'E5 - GDP deflator 1790-1909'!E71</f>
        <v>103.98651014993315</v>
      </c>
      <c r="D75" s="119">
        <f t="shared" ref="D75:D106" si="10">($D$130/$C$130)*C75</f>
        <v>0.51843921057700715</v>
      </c>
      <c r="E75" s="119">
        <f t="shared" si="4"/>
        <v>4.5892238920276673</v>
      </c>
      <c r="F75" s="119">
        <f t="shared" ref="F75:F106" si="11">B75*C$136</f>
        <v>4.1203684949746249</v>
      </c>
      <c r="G75" s="119">
        <f t="shared" ref="G75:G106" si="12">F75*F$140</f>
        <v>7.1595522968679086</v>
      </c>
      <c r="H75" s="119">
        <f t="shared" ref="H75:H106" si="13">G75*C$144</f>
        <v>7.2268462572364394</v>
      </c>
      <c r="I75" s="152">
        <f t="shared" si="5"/>
        <v>82.573654675919087</v>
      </c>
      <c r="J75"/>
      <c r="K75" s="49"/>
      <c r="L75" s="49"/>
      <c r="M75" s="49"/>
      <c r="N75" s="49"/>
      <c r="O75" s="49"/>
    </row>
    <row r="76" spans="1:15" ht="16" customHeight="1">
      <c r="A76" s="108">
        <v>1855</v>
      </c>
      <c r="B76" s="152">
        <f>'E8 -Real GDP 1799-1869'!L65</f>
        <v>3.7098170751724115</v>
      </c>
      <c r="C76" s="66">
        <f>'E5 - GDP deflator 1790-1909'!E72</f>
        <v>106.873953644265</v>
      </c>
      <c r="D76" s="119">
        <f t="shared" si="10"/>
        <v>0.53283496175308487</v>
      </c>
      <c r="E76" s="119">
        <f t="shared" ref="E76:E130" si="14">D76*8.852</f>
        <v>4.716655081438307</v>
      </c>
      <c r="F76" s="119">
        <f t="shared" si="11"/>
        <v>4.2822989894981269</v>
      </c>
      <c r="G76" s="119">
        <f t="shared" si="12"/>
        <v>7.4409227241519451</v>
      </c>
      <c r="H76" s="119">
        <f t="shared" si="13"/>
        <v>7.510861337369902</v>
      </c>
      <c r="I76" s="152">
        <f t="shared" ref="I76:I130" si="15">H76*C$149</f>
        <v>85.818799558614046</v>
      </c>
      <c r="J76"/>
      <c r="K76" s="49"/>
      <c r="L76" s="49"/>
      <c r="M76" s="49"/>
      <c r="N76" s="49"/>
      <c r="O76" s="49"/>
    </row>
    <row r="77" spans="1:15" ht="16" customHeight="1">
      <c r="A77" s="108">
        <v>1856</v>
      </c>
      <c r="B77" s="152">
        <f>'E8 -Real GDP 1799-1869'!L66</f>
        <v>3.8413725574239219</v>
      </c>
      <c r="C77" s="66">
        <f>'E5 - GDP deflator 1790-1909'!E73</f>
        <v>104.6212910525462</v>
      </c>
      <c r="D77" s="119">
        <f t="shared" si="10"/>
        <v>0.52160399906318256</v>
      </c>
      <c r="E77" s="119">
        <f t="shared" si="14"/>
        <v>4.6172385997072922</v>
      </c>
      <c r="F77" s="119">
        <f t="shared" si="11"/>
        <v>4.4341555089148956</v>
      </c>
      <c r="G77" s="119">
        <f t="shared" si="12"/>
        <v>7.7047886122905229</v>
      </c>
      <c r="H77" s="119">
        <f t="shared" si="13"/>
        <v>7.7772073499468153</v>
      </c>
      <c r="I77" s="152">
        <f t="shared" si="15"/>
        <v>88.862058386046783</v>
      </c>
      <c r="J77"/>
      <c r="K77" s="49"/>
      <c r="L77" s="49"/>
      <c r="M77" s="49"/>
      <c r="N77" s="49"/>
      <c r="O77" s="49"/>
    </row>
    <row r="78" spans="1:15" ht="16" customHeight="1">
      <c r="A78" s="108">
        <v>1857</v>
      </c>
      <c r="B78" s="152">
        <f>'E8 -Real GDP 1799-1869'!L67</f>
        <v>3.8640192737375525</v>
      </c>
      <c r="C78" s="66">
        <f>'E5 - GDP deflator 1790-1909'!E74</f>
        <v>107.49518788249726</v>
      </c>
      <c r="D78" s="119">
        <f t="shared" si="10"/>
        <v>0.53593221145968772</v>
      </c>
      <c r="E78" s="119">
        <f t="shared" si="14"/>
        <v>4.7440719358411556</v>
      </c>
      <c r="F78" s="119">
        <f t="shared" si="11"/>
        <v>4.4602969623666953</v>
      </c>
      <c r="G78" s="119">
        <f t="shared" si="12"/>
        <v>7.7502120018083698</v>
      </c>
      <c r="H78" s="119">
        <f t="shared" si="13"/>
        <v>7.8230576823302593</v>
      </c>
      <c r="I78" s="152">
        <f t="shared" si="15"/>
        <v>89.385942439788153</v>
      </c>
      <c r="J78"/>
      <c r="K78" s="49"/>
      <c r="L78" s="49"/>
      <c r="M78" s="49"/>
      <c r="N78" s="49"/>
      <c r="O78" s="49"/>
    </row>
    <row r="79" spans="1:15" ht="16" customHeight="1">
      <c r="A79" s="108">
        <v>1858</v>
      </c>
      <c r="B79" s="152">
        <f>'E8 -Real GDP 1799-1869'!L68</f>
        <v>4.0191608290426348</v>
      </c>
      <c r="C79" s="66">
        <f>'E5 - GDP deflator 1790-1909'!E75</f>
        <v>101.1610171786832</v>
      </c>
      <c r="D79" s="119">
        <f t="shared" si="10"/>
        <v>0.50435232235089378</v>
      </c>
      <c r="E79" s="119">
        <f t="shared" si="14"/>
        <v>4.4645267574501117</v>
      </c>
      <c r="F79" s="119">
        <f t="shared" si="11"/>
        <v>4.6393792491884103</v>
      </c>
      <c r="G79" s="119">
        <f t="shared" si="12"/>
        <v>8.0613853833897817</v>
      </c>
      <c r="H79" s="119">
        <f t="shared" si="13"/>
        <v>8.1371558402579574</v>
      </c>
      <c r="I79" s="152">
        <f t="shared" si="15"/>
        <v>92.974815359437343</v>
      </c>
      <c r="J79"/>
      <c r="K79" s="49"/>
      <c r="L79" s="49"/>
      <c r="M79" s="49"/>
      <c r="N79" s="49"/>
      <c r="O79" s="49"/>
    </row>
    <row r="80" spans="1:15" ht="16" customHeight="1">
      <c r="A80" s="108">
        <v>1859</v>
      </c>
      <c r="B80" s="152">
        <f>'E8 -Real GDP 1799-1869'!L69</f>
        <v>4.2976464327428952</v>
      </c>
      <c r="C80" s="66">
        <f>'E5 - GDP deflator 1790-1909'!E76</f>
        <v>101.9893218581649</v>
      </c>
      <c r="D80" s="119">
        <f t="shared" si="10"/>
        <v>0.5084819505452487</v>
      </c>
      <c r="E80" s="119">
        <f t="shared" si="14"/>
        <v>4.5010822262265417</v>
      </c>
      <c r="F80" s="119">
        <f t="shared" si="11"/>
        <v>4.9608394708517594</v>
      </c>
      <c r="G80" s="119">
        <f t="shared" si="12"/>
        <v>8.6199546645520169</v>
      </c>
      <c r="H80" s="119">
        <f t="shared" si="13"/>
        <v>8.7009752177266417</v>
      </c>
      <c r="I80" s="152">
        <f t="shared" si="15"/>
        <v>99.416992889929631</v>
      </c>
      <c r="J80"/>
      <c r="K80" s="49"/>
      <c r="L80" s="49"/>
      <c r="M80" s="49"/>
      <c r="N80" s="49"/>
      <c r="O80" s="49"/>
    </row>
    <row r="81" spans="1:15" ht="16" customHeight="1">
      <c r="A81" s="108">
        <v>1860</v>
      </c>
      <c r="B81" s="152">
        <f>'E8 -Real GDP 1799-1869'!L70</f>
        <v>4.3155443718614253</v>
      </c>
      <c r="C81" s="66">
        <f>'E5 - GDP deflator 1790-1909'!E77</f>
        <v>100.08933538663105</v>
      </c>
      <c r="D81" s="119">
        <f t="shared" si="10"/>
        <v>0.49900930370876251</v>
      </c>
      <c r="E81" s="119">
        <f t="shared" si="14"/>
        <v>4.4172303564299655</v>
      </c>
      <c r="F81" s="119">
        <f t="shared" si="11"/>
        <v>4.9814993376452774</v>
      </c>
      <c r="G81" s="119">
        <f t="shared" si="12"/>
        <v>8.6558532490924343</v>
      </c>
      <c r="H81" s="119">
        <f t="shared" si="13"/>
        <v>8.7372112197235108</v>
      </c>
      <c r="I81" s="152">
        <f t="shared" si="15"/>
        <v>99.831023991356375</v>
      </c>
      <c r="J81"/>
      <c r="K81" s="49"/>
      <c r="L81" s="49"/>
      <c r="M81" s="49"/>
      <c r="N81" s="49"/>
      <c r="O81" s="49"/>
    </row>
    <row r="82" spans="1:15" ht="16" customHeight="1">
      <c r="A82" s="108">
        <v>1861</v>
      </c>
      <c r="B82" s="152">
        <f>'E8 -Real GDP 1799-1869'!L71</f>
        <v>4.3977334825286452</v>
      </c>
      <c r="C82" s="66">
        <f>'E5 - GDP deflator 1790-1909'!E78</f>
        <v>104.08070985000302</v>
      </c>
      <c r="D82" s="119">
        <f t="shared" si="10"/>
        <v>0.51890885628461281</v>
      </c>
      <c r="E82" s="119">
        <f t="shared" si="14"/>
        <v>4.5933811958313928</v>
      </c>
      <c r="F82" s="119">
        <f t="shared" si="11"/>
        <v>5.0763714939878186</v>
      </c>
      <c r="G82" s="119">
        <f t="shared" si="12"/>
        <v>8.8207031079532339</v>
      </c>
      <c r="H82" s="119">
        <f t="shared" si="13"/>
        <v>8.9036105329927651</v>
      </c>
      <c r="I82" s="152">
        <f t="shared" si="15"/>
        <v>101.73229585229393</v>
      </c>
      <c r="J82"/>
      <c r="K82" s="49"/>
      <c r="L82" s="49"/>
      <c r="M82" s="49"/>
      <c r="N82" s="49"/>
      <c r="O82" s="49"/>
    </row>
    <row r="83" spans="1:15" ht="16" customHeight="1">
      <c r="A83" s="108">
        <v>1862</v>
      </c>
      <c r="B83" s="152">
        <f>'E8 -Real GDP 1799-1869'!L72</f>
        <v>4.9445691596906673</v>
      </c>
      <c r="C83" s="66">
        <f>'E5 - GDP deflator 1790-1909'!E79</f>
        <v>116.51012855671163</v>
      </c>
      <c r="D83" s="119">
        <f t="shared" si="10"/>
        <v>0.58087745214330599</v>
      </c>
      <c r="E83" s="119">
        <f t="shared" si="14"/>
        <v>5.1419272063725447</v>
      </c>
      <c r="F83" s="119">
        <f t="shared" si="11"/>
        <v>5.7075923386499836</v>
      </c>
      <c r="G83" s="119">
        <f t="shared" si="12"/>
        <v>9.9175124476382113</v>
      </c>
      <c r="H83" s="119">
        <f t="shared" si="13"/>
        <v>10.010728987155318</v>
      </c>
      <c r="I83" s="152">
        <f t="shared" si="15"/>
        <v>114.38218678193918</v>
      </c>
      <c r="J83"/>
      <c r="K83" s="49"/>
      <c r="L83" s="49"/>
      <c r="M83" s="49"/>
      <c r="N83" s="49"/>
      <c r="O83" s="49"/>
    </row>
    <row r="84" spans="1:15" ht="16" customHeight="1">
      <c r="A84" s="108">
        <v>1863</v>
      </c>
      <c r="B84" s="152">
        <f>'E8 -Real GDP 1799-1869'!L73</f>
        <v>5.323190115629659</v>
      </c>
      <c r="C84" s="66">
        <f>'E5 - GDP deflator 1790-1909'!E80</f>
        <v>142.52795771776451</v>
      </c>
      <c r="D84" s="119">
        <f t="shared" si="10"/>
        <v>0.71059295843094883</v>
      </c>
      <c r="E84" s="119">
        <f t="shared" si="14"/>
        <v>6.2901688680307597</v>
      </c>
      <c r="F84" s="119">
        <f t="shared" si="11"/>
        <v>6.1446403397148357</v>
      </c>
      <c r="G84" s="119">
        <f t="shared" si="12"/>
        <v>10.676927054288498</v>
      </c>
      <c r="H84" s="119">
        <f t="shared" si="13"/>
        <v>10.777281472589667</v>
      </c>
      <c r="I84" s="152">
        <f t="shared" si="15"/>
        <v>123.14078465024757</v>
      </c>
      <c r="J84"/>
      <c r="K84" s="49"/>
      <c r="L84" s="49"/>
      <c r="M84" s="49"/>
      <c r="N84" s="49"/>
      <c r="O84" s="49"/>
    </row>
    <row r="85" spans="1:15" ht="16" customHeight="1">
      <c r="A85" s="108">
        <v>1864</v>
      </c>
      <c r="B85" s="152">
        <f>'E8 -Real GDP 1799-1869'!L74</f>
        <v>5.3791030116419707</v>
      </c>
      <c r="C85" s="66">
        <f>'E5 - GDP deflator 1790-1909'!E81</f>
        <v>174.80494615593676</v>
      </c>
      <c r="D85" s="119">
        <f t="shared" si="10"/>
        <v>0.87151437392572551</v>
      </c>
      <c r="E85" s="119">
        <f t="shared" si="14"/>
        <v>7.7146452379905224</v>
      </c>
      <c r="F85" s="119">
        <f t="shared" si="11"/>
        <v>6.2091814567677046</v>
      </c>
      <c r="G85" s="119">
        <f t="shared" si="12"/>
        <v>10.789073699279564</v>
      </c>
      <c r="H85" s="119">
        <f t="shared" si="13"/>
        <v>10.890482204703861</v>
      </c>
      <c r="I85" s="152">
        <f t="shared" si="15"/>
        <v>124.43421166252126</v>
      </c>
      <c r="J85"/>
      <c r="K85" s="49"/>
      <c r="L85" s="49"/>
      <c r="M85" s="49"/>
      <c r="N85" s="49"/>
      <c r="O85" s="49"/>
    </row>
    <row r="86" spans="1:15" ht="16" customHeight="1">
      <c r="A86" s="108">
        <v>1865</v>
      </c>
      <c r="B86" s="152">
        <f>'E8 -Real GDP 1799-1869'!L75</f>
        <v>5.5234523047289734</v>
      </c>
      <c r="C86" s="66">
        <f>'E5 - GDP deflator 1790-1909'!E82</f>
        <v>177.55522993676507</v>
      </c>
      <c r="D86" s="119">
        <f t="shared" si="10"/>
        <v>0.88522629627160965</v>
      </c>
      <c r="E86" s="119">
        <f t="shared" si="14"/>
        <v>7.8360231745962885</v>
      </c>
      <c r="F86" s="119">
        <f t="shared" si="11"/>
        <v>6.375806069085689</v>
      </c>
      <c r="G86" s="119">
        <f t="shared" si="12"/>
        <v>11.078600625643293</v>
      </c>
      <c r="H86" s="119">
        <f t="shared" si="13"/>
        <v>11.182730448365165</v>
      </c>
      <c r="I86" s="152">
        <f t="shared" si="15"/>
        <v>127.77342834055261</v>
      </c>
      <c r="J86"/>
      <c r="K86" s="49"/>
      <c r="L86" s="49"/>
      <c r="M86" s="49"/>
      <c r="N86" s="49"/>
      <c r="O86" s="49"/>
    </row>
    <row r="87" spans="1:15" ht="16" customHeight="1">
      <c r="A87" s="108">
        <v>1866</v>
      </c>
      <c r="B87" s="152">
        <f>'E8 -Real GDP 1799-1869'!L76</f>
        <v>5.2606814718584758</v>
      </c>
      <c r="C87" s="66">
        <f>'E5 - GDP deflator 1790-1909'!E83</f>
        <v>169.39678562468731</v>
      </c>
      <c r="D87" s="119">
        <f t="shared" si="10"/>
        <v>0.8445512373376044</v>
      </c>
      <c r="E87" s="119">
        <f t="shared" si="14"/>
        <v>7.4759675529124747</v>
      </c>
      <c r="F87" s="119">
        <f t="shared" si="11"/>
        <v>6.0724856494343733</v>
      </c>
      <c r="G87" s="119">
        <f t="shared" si="12"/>
        <v>10.551551064457167</v>
      </c>
      <c r="H87" s="119">
        <f t="shared" si="13"/>
        <v>10.65072705056858</v>
      </c>
      <c r="I87" s="152">
        <f t="shared" si="15"/>
        <v>121.69477891417482</v>
      </c>
      <c r="J87"/>
      <c r="K87" s="49"/>
      <c r="L87" s="49"/>
      <c r="M87" s="49"/>
      <c r="N87" s="49"/>
      <c r="O87" s="49"/>
    </row>
    <row r="88" spans="1:15" ht="16" customHeight="1">
      <c r="A88" s="108">
        <v>1867</v>
      </c>
      <c r="B88" s="152">
        <f>'E8 -Real GDP 1799-1869'!L77</f>
        <v>5.3674292710781959</v>
      </c>
      <c r="C88" s="66">
        <f>'E5 - GDP deflator 1790-1909'!E84</f>
        <v>154.48518555289144</v>
      </c>
      <c r="D88" s="119">
        <f t="shared" si="10"/>
        <v>0.77020738101897912</v>
      </c>
      <c r="E88" s="119">
        <f t="shared" si="14"/>
        <v>6.8178757367800031</v>
      </c>
      <c r="F88" s="119">
        <f t="shared" si="11"/>
        <v>6.1957062782327652</v>
      </c>
      <c r="G88" s="119">
        <f t="shared" si="12"/>
        <v>10.765659229057253</v>
      </c>
      <c r="H88" s="119">
        <f t="shared" si="13"/>
        <v>10.866847657531784</v>
      </c>
      <c r="I88" s="152">
        <f t="shared" si="15"/>
        <v>124.1641642770999</v>
      </c>
      <c r="J88"/>
      <c r="K88" s="49"/>
      <c r="L88" s="49"/>
      <c r="M88" s="49"/>
      <c r="N88" s="49"/>
      <c r="O88" s="49"/>
    </row>
    <row r="89" spans="1:15" ht="16" customHeight="1">
      <c r="A89" s="108">
        <v>1868</v>
      </c>
      <c r="B89" s="152">
        <f>'E8 -Real GDP 1799-1869'!L78</f>
        <v>5.5742350317192262</v>
      </c>
      <c r="C89" s="66">
        <f>'E5 - GDP deflator 1790-1909'!E85</f>
        <v>145.16094858055598</v>
      </c>
      <c r="D89" s="119">
        <f t="shared" si="10"/>
        <v>0.72372010061885272</v>
      </c>
      <c r="E89" s="119">
        <f t="shared" si="14"/>
        <v>6.4063703306780848</v>
      </c>
      <c r="F89" s="119">
        <f t="shared" si="11"/>
        <v>6.4344253530201163</v>
      </c>
      <c r="G89" s="119">
        <f t="shared" si="12"/>
        <v>11.180457493407754</v>
      </c>
      <c r="H89" s="119">
        <f t="shared" si="13"/>
        <v>11.285544687727512</v>
      </c>
      <c r="I89" s="152">
        <f t="shared" si="15"/>
        <v>128.948179704382</v>
      </c>
      <c r="J89"/>
      <c r="K89" s="49"/>
      <c r="L89" s="49"/>
      <c r="M89" s="49"/>
      <c r="N89" s="49"/>
      <c r="O89" s="49"/>
    </row>
    <row r="90" spans="1:15" ht="16" customHeight="1">
      <c r="A90" s="108">
        <v>1869</v>
      </c>
      <c r="B90" s="152">
        <f>'E9 -Real GDP 1869-1909'!M8</f>
        <v>5.7642070826916836</v>
      </c>
      <c r="C90" s="66">
        <f>'E5 - GDP deflator 1790-1909'!E86</f>
        <v>136.10270971423523</v>
      </c>
      <c r="D90" s="119">
        <f t="shared" si="10"/>
        <v>0.67855899077583415</v>
      </c>
      <c r="E90" s="119">
        <f t="shared" si="14"/>
        <v>6.0066041863476842</v>
      </c>
      <c r="F90" s="119">
        <f t="shared" si="11"/>
        <v>6.6537130174595909</v>
      </c>
      <c r="G90" s="119">
        <f t="shared" si="12"/>
        <v>11.561491739137786</v>
      </c>
      <c r="H90" s="119">
        <f t="shared" si="13"/>
        <v>11.67016034502743</v>
      </c>
      <c r="I90" s="152">
        <f t="shared" si="15"/>
        <v>133.34278273568819</v>
      </c>
      <c r="J90"/>
      <c r="K90" s="49"/>
      <c r="L90" s="49"/>
      <c r="M90" s="49"/>
      <c r="N90" s="49"/>
      <c r="O90" s="49"/>
    </row>
    <row r="91" spans="1:15" ht="16" customHeight="1">
      <c r="A91" s="108">
        <v>1870</v>
      </c>
      <c r="B91" s="152">
        <f>'E9 -Real GDP 1869-1909'!M9</f>
        <v>5.9362836696205958</v>
      </c>
      <c r="C91" s="66">
        <f>'E5 - GDP deflator 1790-1909'!E87</f>
        <v>130.33863038253105</v>
      </c>
      <c r="D91" s="119">
        <f t="shared" si="10"/>
        <v>0.64982137150076436</v>
      </c>
      <c r="E91" s="119">
        <f t="shared" si="14"/>
        <v>5.7522187805247667</v>
      </c>
      <c r="F91" s="119">
        <f t="shared" si="11"/>
        <v>6.8523436721227249</v>
      </c>
      <c r="G91" s="119">
        <f t="shared" si="12"/>
        <v>11.906632364680448</v>
      </c>
      <c r="H91" s="119">
        <f t="shared" si="13"/>
        <v>12.018545011344401</v>
      </c>
      <c r="I91" s="152">
        <f t="shared" si="15"/>
        <v>137.32341192121115</v>
      </c>
      <c r="J91"/>
      <c r="K91" s="49"/>
      <c r="L91" s="49"/>
      <c r="M91" s="49"/>
      <c r="N91" s="49"/>
      <c r="O91" s="49"/>
    </row>
    <row r="92" spans="1:15" ht="16" customHeight="1">
      <c r="A92" s="108">
        <v>1871</v>
      </c>
      <c r="B92" s="152">
        <f>'E9 -Real GDP 1869-1909'!M10</f>
        <v>6.2186810248082134</v>
      </c>
      <c r="C92" s="66">
        <f>'E5 - GDP deflator 1790-1909'!E88</f>
        <v>122.07911158261929</v>
      </c>
      <c r="D92" s="119">
        <f t="shared" si="10"/>
        <v>0.6086423916484921</v>
      </c>
      <c r="E92" s="119">
        <f t="shared" si="14"/>
        <v>5.3877024508724523</v>
      </c>
      <c r="F92" s="119">
        <f t="shared" si="11"/>
        <v>7.1783192887778062</v>
      </c>
      <c r="G92" s="119">
        <f t="shared" si="12"/>
        <v>12.473047596180317</v>
      </c>
      <c r="H92" s="119">
        <f t="shared" si="13"/>
        <v>12.590284084693621</v>
      </c>
      <c r="I92" s="152">
        <f t="shared" si="15"/>
        <v>143.85607957830919</v>
      </c>
      <c r="J92"/>
      <c r="K92" s="49"/>
      <c r="L92" s="49"/>
      <c r="M92" s="49"/>
      <c r="N92" s="49"/>
      <c r="O92" s="49"/>
    </row>
    <row r="93" spans="1:15" ht="16" customHeight="1">
      <c r="A93" s="108">
        <v>1872</v>
      </c>
      <c r="B93" s="152">
        <f>'E9 -Real GDP 1869-1909'!M11</f>
        <v>6.739062934478353</v>
      </c>
      <c r="C93" s="66">
        <f>'E5 - GDP deflator 1790-1909'!E89</f>
        <v>122.12141637395153</v>
      </c>
      <c r="D93" s="119">
        <f t="shared" si="10"/>
        <v>0.60885330807015381</v>
      </c>
      <c r="E93" s="119">
        <f t="shared" si="14"/>
        <v>5.3895694830370013</v>
      </c>
      <c r="F93" s="119">
        <f t="shared" si="11"/>
        <v>7.7790041421758618</v>
      </c>
      <c r="G93" s="119">
        <f t="shared" si="12"/>
        <v>13.516797597444778</v>
      </c>
      <c r="H93" s="119">
        <f t="shared" si="13"/>
        <v>13.643844485869606</v>
      </c>
      <c r="I93" s="152">
        <f t="shared" si="15"/>
        <v>155.89401834860152</v>
      </c>
      <c r="J93"/>
      <c r="K93" s="49"/>
      <c r="L93" s="49"/>
      <c r="M93" s="49"/>
      <c r="N93" s="49"/>
      <c r="O93" s="49"/>
    </row>
    <row r="94" spans="1:15" ht="16" customHeight="1">
      <c r="A94" s="108">
        <v>1873</v>
      </c>
      <c r="B94" s="152">
        <f>'E9 -Real GDP 1869-1909'!M12</f>
        <v>7.3139299182754183</v>
      </c>
      <c r="C94" s="66">
        <f>'E5 - GDP deflator 1790-1909'!E90</f>
        <v>119.67058399864538</v>
      </c>
      <c r="D94" s="119">
        <f t="shared" si="10"/>
        <v>0.59663434235932977</v>
      </c>
      <c r="E94" s="119">
        <f t="shared" si="14"/>
        <v>5.2814071985647875</v>
      </c>
      <c r="F94" s="119">
        <f t="shared" si="11"/>
        <v>8.4425819558327788</v>
      </c>
      <c r="G94" s="119">
        <f t="shared" si="12"/>
        <v>14.669830406455036</v>
      </c>
      <c r="H94" s="119">
        <f t="shared" si="13"/>
        <v>14.807714864176912</v>
      </c>
      <c r="I94" s="152">
        <f t="shared" si="15"/>
        <v>169.19235448099761</v>
      </c>
      <c r="J94"/>
      <c r="K94" s="49"/>
      <c r="L94" s="49"/>
      <c r="M94" s="49"/>
      <c r="N94" s="49"/>
      <c r="O94" s="49"/>
    </row>
    <row r="95" spans="1:15" ht="16" customHeight="1">
      <c r="A95" s="108">
        <v>1874</v>
      </c>
      <c r="B95" s="152">
        <f>'E9 -Real GDP 1869-1909'!M13</f>
        <v>7.4469663084836091</v>
      </c>
      <c r="C95" s="66">
        <f>'E5 - GDP deflator 1790-1909'!E91</f>
        <v>113.89269085752655</v>
      </c>
      <c r="D95" s="119">
        <f t="shared" si="10"/>
        <v>0.56782785241596201</v>
      </c>
      <c r="E95" s="119">
        <f t="shared" si="14"/>
        <v>5.0264121495860961</v>
      </c>
      <c r="F95" s="119">
        <f t="shared" si="11"/>
        <v>8.5961479101132987</v>
      </c>
      <c r="G95" s="119">
        <f t="shared" si="12"/>
        <v>14.936666608612867</v>
      </c>
      <c r="H95" s="119">
        <f t="shared" si="13"/>
        <v>15.077059109305637</v>
      </c>
      <c r="I95" s="152">
        <f t="shared" si="15"/>
        <v>172.26987099298029</v>
      </c>
      <c r="J95"/>
      <c r="K95" s="49"/>
      <c r="L95" s="49"/>
      <c r="M95" s="49"/>
      <c r="N95" s="49"/>
      <c r="O95" s="49"/>
    </row>
    <row r="96" spans="1:15" ht="16" customHeight="1">
      <c r="A96" s="108">
        <v>1875</v>
      </c>
      <c r="B96" s="152">
        <f>'E9 -Real GDP 1869-1909'!M14</f>
        <v>7.4336908666412915</v>
      </c>
      <c r="C96" s="66">
        <f>'E5 - GDP deflator 1790-1909'!E92</f>
        <v>109.77401128387199</v>
      </c>
      <c r="D96" s="119">
        <f t="shared" si="10"/>
        <v>0.54729360250502312</v>
      </c>
      <c r="E96" s="119">
        <f t="shared" si="14"/>
        <v>4.8446429693744646</v>
      </c>
      <c r="F96" s="119">
        <f t="shared" si="11"/>
        <v>8.5808238631226903</v>
      </c>
      <c r="G96" s="119">
        <f t="shared" si="12"/>
        <v>14.910039544561988</v>
      </c>
      <c r="H96" s="119">
        <f t="shared" si="13"/>
        <v>15.050181772539554</v>
      </c>
      <c r="I96" s="152">
        <f t="shared" si="15"/>
        <v>171.96277162408083</v>
      </c>
      <c r="J96"/>
      <c r="K96" s="49"/>
      <c r="L96" s="49"/>
      <c r="M96" s="49"/>
      <c r="N96" s="49"/>
      <c r="O96" s="49"/>
    </row>
    <row r="97" spans="1:15" ht="16" customHeight="1">
      <c r="A97" s="108">
        <v>1876</v>
      </c>
      <c r="B97" s="152">
        <f>'E9 -Real GDP 1869-1909'!M15</f>
        <v>7.7414218438818043</v>
      </c>
      <c r="C97" s="66">
        <f>'E5 - GDP deflator 1790-1909'!E93</f>
        <v>107.3162720038585</v>
      </c>
      <c r="D97" s="119">
        <f t="shared" si="10"/>
        <v>0.53504020146005005</v>
      </c>
      <c r="E97" s="119">
        <f t="shared" si="14"/>
        <v>4.7361758633243634</v>
      </c>
      <c r="F97" s="119">
        <f t="shared" si="11"/>
        <v>8.9360424699088696</v>
      </c>
      <c r="G97" s="119">
        <f t="shared" si="12"/>
        <v>15.527267395713652</v>
      </c>
      <c r="H97" s="119">
        <f t="shared" si="13"/>
        <v>15.673211062780075</v>
      </c>
      <c r="I97" s="152">
        <f t="shared" si="15"/>
        <v>179.08147923651822</v>
      </c>
      <c r="J97"/>
      <c r="K97" s="49"/>
      <c r="L97" s="49"/>
      <c r="M97" s="49"/>
      <c r="N97" s="49"/>
      <c r="O97" s="49"/>
    </row>
    <row r="98" spans="1:15" ht="16" customHeight="1">
      <c r="A98" s="108">
        <v>1877</v>
      </c>
      <c r="B98" s="152">
        <f>'E9 -Real GDP 1869-1909'!M16</f>
        <v>8.1266128712500496</v>
      </c>
      <c r="C98" s="66">
        <f>'E5 - GDP deflator 1790-1909'!E94</f>
        <v>104.8568059976682</v>
      </c>
      <c r="D98" s="119">
        <f t="shared" si="10"/>
        <v>0.52277819158153982</v>
      </c>
      <c r="E98" s="119">
        <f t="shared" si="14"/>
        <v>4.6276325518797909</v>
      </c>
      <c r="F98" s="119">
        <f t="shared" si="11"/>
        <v>9.3806744056185618</v>
      </c>
      <c r="G98" s="119">
        <f t="shared" si="12"/>
        <v>16.299859847202814</v>
      </c>
      <c r="H98" s="119">
        <f t="shared" si="13"/>
        <v>16.453065254061862</v>
      </c>
      <c r="I98" s="152">
        <f t="shared" si="15"/>
        <v>187.99206186085308</v>
      </c>
      <c r="J98"/>
      <c r="K98" s="49"/>
      <c r="L98" s="49"/>
      <c r="M98" s="49"/>
      <c r="N98" s="49"/>
      <c r="O98" s="49"/>
    </row>
    <row r="99" spans="1:15" ht="16" customHeight="1">
      <c r="A99" s="108">
        <v>1878</v>
      </c>
      <c r="B99" s="152">
        <f>'E9 -Real GDP 1869-1909'!M17</f>
        <v>8.3877498831073147</v>
      </c>
      <c r="C99" s="66">
        <f>'E5 - GDP deflator 1790-1909'!E95</f>
        <v>99.898159283220537</v>
      </c>
      <c r="D99" s="119">
        <f t="shared" si="10"/>
        <v>0.49805616865316316</v>
      </c>
      <c r="E99" s="119">
        <f t="shared" si="14"/>
        <v>4.4087932049178002</v>
      </c>
      <c r="F99" s="119">
        <f t="shared" si="11"/>
        <v>9.6821088805097411</v>
      </c>
      <c r="G99" s="119">
        <f t="shared" si="12"/>
        <v>16.823632390773728</v>
      </c>
      <c r="H99" s="119">
        <f t="shared" si="13"/>
        <v>16.981760832946673</v>
      </c>
      <c r="I99" s="152">
        <f t="shared" si="15"/>
        <v>194.03291628138336</v>
      </c>
      <c r="J99"/>
      <c r="K99" s="49"/>
      <c r="L99" s="49"/>
      <c r="M99" s="49"/>
      <c r="N99" s="49"/>
      <c r="O99" s="49"/>
    </row>
    <row r="100" spans="1:15" ht="16" customHeight="1">
      <c r="A100" s="108">
        <v>1879</v>
      </c>
      <c r="B100" s="152">
        <f>'E9 -Real GDP 1869-1909'!M18</f>
        <v>9.3653784797375028</v>
      </c>
      <c r="C100" s="66">
        <f>'E5 - GDP deflator 1790-1909'!E96</f>
        <v>99.932693806757086</v>
      </c>
      <c r="D100" s="119">
        <f t="shared" si="10"/>
        <v>0.49822834532390758</v>
      </c>
      <c r="E100" s="119">
        <f t="shared" si="14"/>
        <v>4.4103173128072299</v>
      </c>
      <c r="F100" s="119">
        <f t="shared" si="11"/>
        <v>10.810600627305467</v>
      </c>
      <c r="G100" s="119">
        <f t="shared" si="12"/>
        <v>18.78449965000598</v>
      </c>
      <c r="H100" s="119">
        <f t="shared" si="13"/>
        <v>18.961058647353227</v>
      </c>
      <c r="I100" s="152">
        <f t="shared" si="15"/>
        <v>216.64829350266481</v>
      </c>
      <c r="J100"/>
      <c r="K100" s="49"/>
      <c r="L100" s="49"/>
      <c r="M100" s="49"/>
      <c r="N100" s="49"/>
      <c r="O100" s="49"/>
    </row>
    <row r="101" spans="1:15" ht="16" customHeight="1">
      <c r="A101" s="108">
        <v>1880</v>
      </c>
      <c r="B101" s="152">
        <f>'E9 -Real GDP 1869-1909'!M19</f>
        <v>10.153424154905903</v>
      </c>
      <c r="C101" s="66">
        <f>'E5 - GDP deflator 1790-1909'!E97</f>
        <v>102.17884685782766</v>
      </c>
      <c r="D101" s="119">
        <f t="shared" si="10"/>
        <v>0.50942685379344976</v>
      </c>
      <c r="E101" s="119">
        <f t="shared" si="14"/>
        <v>4.5094465097796173</v>
      </c>
      <c r="F101" s="119">
        <f t="shared" si="11"/>
        <v>11.720253887849365</v>
      </c>
      <c r="G101" s="119">
        <f t="shared" si="12"/>
        <v>20.365113155527059</v>
      </c>
      <c r="H101" s="119">
        <f t="shared" si="13"/>
        <v>20.556528632468012</v>
      </c>
      <c r="I101" s="152">
        <f t="shared" si="15"/>
        <v>234.87806938377526</v>
      </c>
      <c r="J101"/>
      <c r="K101" s="49"/>
      <c r="L101" s="49"/>
      <c r="M101" s="49"/>
      <c r="N101" s="49"/>
      <c r="O101" s="49"/>
    </row>
    <row r="102" spans="1:15" ht="16" customHeight="1">
      <c r="A102" s="108">
        <v>1881</v>
      </c>
      <c r="B102" s="152">
        <f>'E9 -Real GDP 1869-1909'!M20</f>
        <v>11.437978461075346</v>
      </c>
      <c r="C102" s="66">
        <f>'E5 - GDP deflator 1790-1909'!E98</f>
        <v>101.92668256372934</v>
      </c>
      <c r="D102" s="119">
        <f t="shared" si="10"/>
        <v>0.50816965362989452</v>
      </c>
      <c r="E102" s="119">
        <f t="shared" si="14"/>
        <v>4.4983177739318263</v>
      </c>
      <c r="F102" s="119">
        <f t="shared" si="11"/>
        <v>13.203034708520752</v>
      </c>
      <c r="G102" s="119">
        <f t="shared" si="12"/>
        <v>22.941593109525659</v>
      </c>
      <c r="H102" s="119">
        <f t="shared" si="13"/>
        <v>23.157225399575239</v>
      </c>
      <c r="I102" s="152">
        <f t="shared" si="15"/>
        <v>264.593526046335</v>
      </c>
      <c r="J102"/>
      <c r="K102" s="49"/>
      <c r="L102" s="49"/>
      <c r="M102" s="49"/>
      <c r="N102" s="49"/>
      <c r="O102" s="49"/>
    </row>
    <row r="103" spans="1:15" ht="16" customHeight="1">
      <c r="A103" s="108">
        <v>1882</v>
      </c>
      <c r="B103" s="152">
        <f>'E9 -Real GDP 1869-1909'!M21</f>
        <v>12.060384910596015</v>
      </c>
      <c r="C103" s="66">
        <f>'E5 - GDP deflator 1790-1909'!E99</f>
        <v>101.67451826963098</v>
      </c>
      <c r="D103" s="119">
        <f t="shared" si="10"/>
        <v>0.50691245346633895</v>
      </c>
      <c r="E103" s="119">
        <f t="shared" si="14"/>
        <v>4.4871890380840327</v>
      </c>
      <c r="F103" s="119">
        <f t="shared" si="11"/>
        <v>13.921488059678399</v>
      </c>
      <c r="G103" s="119">
        <f t="shared" si="12"/>
        <v>24.189977652497188</v>
      </c>
      <c r="H103" s="119">
        <f t="shared" si="13"/>
        <v>24.417343740482174</v>
      </c>
      <c r="I103" s="152">
        <f t="shared" si="15"/>
        <v>278.99158752836121</v>
      </c>
      <c r="J103"/>
      <c r="K103" s="49"/>
      <c r="L103" s="49"/>
      <c r="M103" s="49"/>
      <c r="N103" s="49"/>
      <c r="O103" s="49"/>
    </row>
    <row r="104" spans="1:15" ht="16" customHeight="1">
      <c r="A104" s="108">
        <v>1883</v>
      </c>
      <c r="B104" s="152">
        <f>'E9 -Real GDP 1869-1909'!M22</f>
        <v>12.409443248645941</v>
      </c>
      <c r="C104" s="66">
        <f>'E5 - GDP deflator 1790-1909'!E100</f>
        <v>99.773210008450818</v>
      </c>
      <c r="D104" s="119">
        <f t="shared" si="10"/>
        <v>0.49743321666371398</v>
      </c>
      <c r="E104" s="119">
        <f t="shared" si="14"/>
        <v>4.403278833907196</v>
      </c>
      <c r="F104" s="119">
        <f t="shared" si="11"/>
        <v>14.324411475582302</v>
      </c>
      <c r="G104" s="119">
        <f t="shared" si="12"/>
        <v>24.890097379971809</v>
      </c>
      <c r="H104" s="119">
        <f t="shared" si="13"/>
        <v>25.124044023170356</v>
      </c>
      <c r="I104" s="152">
        <f t="shared" si="15"/>
        <v>287.06631653531025</v>
      </c>
      <c r="J104"/>
      <c r="K104" s="49"/>
      <c r="L104" s="49"/>
      <c r="M104" s="49"/>
      <c r="N104" s="49"/>
      <c r="O104" s="49"/>
    </row>
    <row r="105" spans="1:15" ht="16" customHeight="1">
      <c r="A105" s="108">
        <v>1884</v>
      </c>
      <c r="B105" s="152">
        <f>'E9 -Real GDP 1869-1909'!M23</f>
        <v>12.218619773941096</v>
      </c>
      <c r="C105" s="66">
        <f>'E5 - GDP deflator 1790-1909'!E101</f>
        <v>97.057580344790637</v>
      </c>
      <c r="D105" s="119">
        <f t="shared" si="10"/>
        <v>0.4838940672392596</v>
      </c>
      <c r="E105" s="119">
        <f t="shared" si="14"/>
        <v>4.283430283201926</v>
      </c>
      <c r="F105" s="119">
        <f t="shared" si="11"/>
        <v>14.104140999614669</v>
      </c>
      <c r="G105" s="119">
        <f t="shared" si="12"/>
        <v>24.50735540093045</v>
      </c>
      <c r="H105" s="119">
        <f t="shared" si="13"/>
        <v>24.737704581256878</v>
      </c>
      <c r="I105" s="152">
        <f t="shared" si="15"/>
        <v>282.6520176103391</v>
      </c>
      <c r="J105"/>
      <c r="K105" s="49"/>
      <c r="L105" s="49"/>
      <c r="M105" s="49"/>
      <c r="N105" s="49"/>
      <c r="O105" s="49"/>
    </row>
    <row r="106" spans="1:15" ht="16" customHeight="1">
      <c r="A106" s="108">
        <v>1885</v>
      </c>
      <c r="B106" s="152">
        <f>'E9 -Real GDP 1869-1909'!M24</f>
        <v>12.273026779673794</v>
      </c>
      <c r="C106" s="66">
        <f>'E5 - GDP deflator 1790-1909'!E102</f>
        <v>95.174723129520117</v>
      </c>
      <c r="D106" s="119">
        <f t="shared" si="10"/>
        <v>0.47450682069250449</v>
      </c>
      <c r="E106" s="119">
        <f t="shared" si="14"/>
        <v>4.2003343767700496</v>
      </c>
      <c r="F106" s="119">
        <f t="shared" si="11"/>
        <v>14.166943844323642</v>
      </c>
      <c r="G106" s="119">
        <f t="shared" si="12"/>
        <v>24.61648162389676</v>
      </c>
      <c r="H106" s="119">
        <f t="shared" si="13"/>
        <v>24.847856501839317</v>
      </c>
      <c r="I106" s="152">
        <f t="shared" si="15"/>
        <v>283.91060902467223</v>
      </c>
      <c r="J106"/>
      <c r="K106" s="49"/>
      <c r="L106" s="49"/>
      <c r="M106" s="49"/>
      <c r="N106" s="49"/>
      <c r="O106" s="49"/>
    </row>
    <row r="107" spans="1:15" ht="16" customHeight="1">
      <c r="A107" s="108">
        <v>1886</v>
      </c>
      <c r="B107" s="152">
        <f>'E9 -Real GDP 1869-1909'!M25</f>
        <v>13.29103196650345</v>
      </c>
      <c r="C107" s="66">
        <f>'E5 - GDP deflator 1790-1909'!E103</f>
        <v>92.481644744193915</v>
      </c>
      <c r="D107" s="119">
        <f t="shared" ref="D107:D129" si="16">($D$130/$C$130)*C107</f>
        <v>0.46108010380300213</v>
      </c>
      <c r="E107" s="119">
        <f t="shared" si="14"/>
        <v>4.0814810788641749</v>
      </c>
      <c r="F107" s="119">
        <f t="shared" ref="F107:F130" si="17">B107*C$136</f>
        <v>15.342042911078002</v>
      </c>
      <c r="G107" s="119">
        <f t="shared" ref="G107:G130" si="18">F107*F$140</f>
        <v>26.658333762289136</v>
      </c>
      <c r="H107" s="119">
        <f t="shared" ref="H107:H130" si="19">G107*C$144</f>
        <v>26.908900387310556</v>
      </c>
      <c r="I107" s="152">
        <f t="shared" si="15"/>
        <v>307.46001356616267</v>
      </c>
      <c r="J107"/>
      <c r="K107" s="49"/>
      <c r="L107" s="49"/>
      <c r="M107" s="49"/>
      <c r="N107" s="49"/>
      <c r="O107" s="49"/>
    </row>
    <row r="108" spans="1:15" ht="16" customHeight="1">
      <c r="A108" s="108">
        <v>1887</v>
      </c>
      <c r="B108" s="152">
        <f>'E9 -Real GDP 1869-1909'!M26</f>
        <v>14.27740051684532</v>
      </c>
      <c r="C108" s="66">
        <f>'E5 - GDP deflator 1790-1909'!E104</f>
        <v>93.066353130909604</v>
      </c>
      <c r="D108" s="119">
        <f t="shared" si="16"/>
        <v>0.46399524879622828</v>
      </c>
      <c r="E108" s="119">
        <f t="shared" si="14"/>
        <v>4.1072859423442125</v>
      </c>
      <c r="F108" s="119">
        <f t="shared" si="17"/>
        <v>16.480623321058303</v>
      </c>
      <c r="G108" s="119">
        <f t="shared" si="18"/>
        <v>28.636731082670909</v>
      </c>
      <c r="H108" s="119">
        <f t="shared" si="19"/>
        <v>28.905893031163771</v>
      </c>
      <c r="I108" s="152">
        <f t="shared" si="15"/>
        <v>330.27757119702659</v>
      </c>
      <c r="J108"/>
      <c r="K108" s="49"/>
      <c r="L108" s="49"/>
      <c r="M108" s="49"/>
      <c r="N108" s="49"/>
      <c r="O108" s="49"/>
    </row>
    <row r="109" spans="1:15" ht="16" customHeight="1">
      <c r="A109" s="108">
        <v>1888</v>
      </c>
      <c r="B109" s="152">
        <f>'E9 -Real GDP 1869-1909'!M27</f>
        <v>15.121800425522839</v>
      </c>
      <c r="C109" s="66">
        <f>'E5 - GDP deflator 1790-1909'!E105</f>
        <v>92.832639882720898</v>
      </c>
      <c r="D109" s="119">
        <f t="shared" si="16"/>
        <v>0.46283003888854279</v>
      </c>
      <c r="E109" s="119">
        <f t="shared" si="14"/>
        <v>4.096971504241381</v>
      </c>
      <c r="F109" s="119">
        <f t="shared" si="17"/>
        <v>17.455327141325235</v>
      </c>
      <c r="G109" s="119">
        <f t="shared" si="18"/>
        <v>30.330376440766727</v>
      </c>
      <c r="H109" s="119">
        <f t="shared" si="19"/>
        <v>30.61545727620674</v>
      </c>
      <c r="I109" s="152">
        <f t="shared" si="15"/>
        <v>349.81098350327625</v>
      </c>
      <c r="J109"/>
      <c r="K109" s="49"/>
      <c r="L109" s="49"/>
      <c r="M109" s="49"/>
      <c r="N109" s="49"/>
      <c r="O109" s="49"/>
    </row>
    <row r="110" spans="1:15" ht="16" customHeight="1">
      <c r="A110" s="108">
        <v>1889</v>
      </c>
      <c r="B110" s="152">
        <f>'E9 -Real GDP 1869-1909'!M28</f>
        <v>15.576232153003133</v>
      </c>
      <c r="C110" s="66">
        <f>'E5 - GDP deflator 1790-1909'!E106</f>
        <v>90.162112775728701</v>
      </c>
      <c r="D110" s="119">
        <f t="shared" si="16"/>
        <v>0.44951575453399256</v>
      </c>
      <c r="E110" s="119">
        <f t="shared" si="14"/>
        <v>3.9791134591349024</v>
      </c>
      <c r="F110" s="119">
        <f t="shared" si="17"/>
        <v>17.979884683638641</v>
      </c>
      <c r="G110" s="119">
        <f t="shared" si="18"/>
        <v>31.241847626290504</v>
      </c>
      <c r="H110" s="119">
        <f t="shared" si="19"/>
        <v>31.535495548510863</v>
      </c>
      <c r="I110" s="152">
        <f t="shared" si="15"/>
        <v>360.32330379925571</v>
      </c>
      <c r="J110"/>
      <c r="K110" s="49"/>
      <c r="L110" s="49"/>
      <c r="M110" s="49"/>
      <c r="N110" s="49"/>
      <c r="O110" s="49"/>
    </row>
    <row r="111" spans="1:15" ht="16" customHeight="1">
      <c r="A111" s="108">
        <v>1890</v>
      </c>
      <c r="B111" s="152">
        <f>'E9 -Real GDP 1869-1909'!M29</f>
        <v>17.092768268552966</v>
      </c>
      <c r="C111" s="66">
        <f>'E5 - GDP deflator 1790-1909'!E107</f>
        <v>89.439010837788956</v>
      </c>
      <c r="D111" s="119">
        <f t="shared" si="16"/>
        <v>0.44591062924099389</v>
      </c>
      <c r="E111" s="119">
        <f t="shared" si="14"/>
        <v>3.9472008900412781</v>
      </c>
      <c r="F111" s="119">
        <f t="shared" si="17"/>
        <v>19.730445679925673</v>
      </c>
      <c r="G111" s="119">
        <f t="shared" si="18"/>
        <v>34.283622413438849</v>
      </c>
      <c r="H111" s="67">
        <f t="shared" si="19"/>
        <v>34.605860541231962</v>
      </c>
      <c r="I111" s="152">
        <f t="shared" si="15"/>
        <v>395.40517071791544</v>
      </c>
      <c r="J111"/>
      <c r="K111" s="49"/>
      <c r="L111" s="49"/>
      <c r="M111" s="49"/>
      <c r="N111" s="49"/>
      <c r="O111" s="170"/>
    </row>
    <row r="112" spans="1:15" ht="16" customHeight="1">
      <c r="A112" s="108">
        <v>1891</v>
      </c>
      <c r="B112" s="152">
        <f>'E9 -Real GDP 1869-1909'!M30</f>
        <v>17.287076659030326</v>
      </c>
      <c r="C112" s="66">
        <f>'E5 - GDP deflator 1790-1909'!E108</f>
        <v>90.340451472384842</v>
      </c>
      <c r="D112" s="119">
        <f t="shared" si="16"/>
        <v>0.45040488691257158</v>
      </c>
      <c r="E112" s="119">
        <f t="shared" si="14"/>
        <v>3.9869840589500836</v>
      </c>
      <c r="F112" s="119">
        <f t="shared" si="17"/>
        <v>19.954738847845157</v>
      </c>
      <c r="G112" s="119">
        <f t="shared" si="18"/>
        <v>34.673354222015746</v>
      </c>
      <c r="H112" s="119">
        <f t="shared" si="19"/>
        <v>34.999255511385627</v>
      </c>
      <c r="I112" s="152">
        <f t="shared" si="15"/>
        <v>399.90008582479004</v>
      </c>
      <c r="J112"/>
      <c r="K112" s="49"/>
      <c r="L112" s="49"/>
      <c r="M112" s="49"/>
      <c r="N112" s="49"/>
      <c r="O112" s="49"/>
    </row>
    <row r="113" spans="1:15" ht="16" customHeight="1">
      <c r="A113" s="108">
        <v>1892</v>
      </c>
      <c r="B113" s="152">
        <f>'E9 -Real GDP 1869-1909'!M31</f>
        <v>18.163777937473601</v>
      </c>
      <c r="C113" s="66">
        <f>'E5 - GDP deflator 1790-1909'!E109</f>
        <v>91.241892106980714</v>
      </c>
      <c r="D113" s="119">
        <f t="shared" si="16"/>
        <v>0.45489914458414921</v>
      </c>
      <c r="E113" s="119">
        <f t="shared" si="14"/>
        <v>4.0267672278588886</v>
      </c>
      <c r="F113" s="119">
        <f t="shared" si="17"/>
        <v>20.966728636747312</v>
      </c>
      <c r="G113" s="119">
        <f t="shared" si="18"/>
        <v>36.431787679212128</v>
      </c>
      <c r="H113" s="119">
        <f t="shared" si="19"/>
        <v>36.774216810892909</v>
      </c>
      <c r="I113" s="152">
        <f t="shared" si="15"/>
        <v>420.18072224512008</v>
      </c>
      <c r="J113"/>
      <c r="K113" s="49"/>
      <c r="L113" s="49"/>
      <c r="M113" s="49"/>
      <c r="N113" s="49"/>
      <c r="O113" s="49"/>
    </row>
    <row r="114" spans="1:15" ht="16" customHeight="1">
      <c r="A114" s="108">
        <v>1893</v>
      </c>
      <c r="B114" s="152">
        <f>'E9 -Real GDP 1869-1909'!M32</f>
        <v>17.094581470326577</v>
      </c>
      <c r="C114" s="66">
        <f>'E5 - GDP deflator 1790-1909'!E110</f>
        <v>91.297981065048404</v>
      </c>
      <c r="D114" s="119">
        <f t="shared" si="16"/>
        <v>0.45517878388640842</v>
      </c>
      <c r="E114" s="119">
        <f t="shared" si="14"/>
        <v>4.0292425949624873</v>
      </c>
      <c r="F114" s="119">
        <f t="shared" si="17"/>
        <v>19.732538686660387</v>
      </c>
      <c r="G114" s="119">
        <f t="shared" si="18"/>
        <v>34.287259221941092</v>
      </c>
      <c r="H114" s="119">
        <f t="shared" si="19"/>
        <v>34.609531532772067</v>
      </c>
      <c r="I114" s="152">
        <f t="shared" si="15"/>
        <v>395.44711531960769</v>
      </c>
      <c r="J114"/>
      <c r="K114" s="49"/>
      <c r="L114" s="49"/>
      <c r="M114" s="49"/>
      <c r="N114" s="49"/>
      <c r="O114" s="49"/>
    </row>
    <row r="115" spans="1:15" ht="16" customHeight="1">
      <c r="A115" s="108">
        <v>1894</v>
      </c>
      <c r="B115" s="152">
        <f>'E9 -Real GDP 1869-1909'!M33</f>
        <v>16.271649721361275</v>
      </c>
      <c r="C115" s="66">
        <f>'E5 - GDP deflator 1790-1909'!E111</f>
        <v>87.923042731612568</v>
      </c>
      <c r="D115" s="119">
        <f t="shared" si="16"/>
        <v>0.43835255938084761</v>
      </c>
      <c r="E115" s="119">
        <f t="shared" si="14"/>
        <v>3.880296855639263</v>
      </c>
      <c r="F115" s="119">
        <f t="shared" si="17"/>
        <v>18.782615893807787</v>
      </c>
      <c r="G115" s="119">
        <f t="shared" si="18"/>
        <v>32.636673377080413</v>
      </c>
      <c r="H115" s="119">
        <f t="shared" si="19"/>
        <v>32.943431525318076</v>
      </c>
      <c r="I115" s="152">
        <f t="shared" si="15"/>
        <v>376.41032364394511</v>
      </c>
      <c r="J115"/>
      <c r="K115" s="49"/>
      <c r="L115" s="49"/>
      <c r="M115" s="49"/>
      <c r="N115" s="49"/>
      <c r="O115" s="49"/>
    </row>
    <row r="116" spans="1:15" ht="16" customHeight="1">
      <c r="A116" s="108">
        <v>1895</v>
      </c>
      <c r="B116" s="152">
        <f>'E9 -Real GDP 1869-1909'!M34</f>
        <v>18.13193656274354</v>
      </c>
      <c r="C116" s="66">
        <f>'E5 - GDP deflator 1790-1909'!E112</f>
        <v>87.051079037501012</v>
      </c>
      <c r="D116" s="119">
        <f t="shared" si="16"/>
        <v>0.43400526309621218</v>
      </c>
      <c r="E116" s="119">
        <f t="shared" si="14"/>
        <v>3.8418145889276705</v>
      </c>
      <c r="F116" s="119">
        <f t="shared" si="17"/>
        <v>20.929973647466763</v>
      </c>
      <c r="G116" s="119">
        <f t="shared" si="18"/>
        <v>36.367922209838248</v>
      </c>
      <c r="H116" s="119">
        <f t="shared" si="19"/>
        <v>36.70975105812326</v>
      </c>
      <c r="I116" s="152">
        <f t="shared" si="15"/>
        <v>419.44413914674652</v>
      </c>
      <c r="J116"/>
      <c r="K116" s="49"/>
      <c r="L116" s="49"/>
      <c r="M116" s="49"/>
      <c r="N116" s="49"/>
      <c r="O116" s="49"/>
    </row>
    <row r="117" spans="1:15" ht="16" customHeight="1">
      <c r="A117" s="108">
        <v>1896</v>
      </c>
      <c r="B117" s="152">
        <f>'E9 -Real GDP 1869-1909'!M35</f>
        <v>17.820704905497159</v>
      </c>
      <c r="C117" s="66">
        <f>'E5 - GDP deflator 1790-1909'!E113</f>
        <v>87.886358891576094</v>
      </c>
      <c r="D117" s="119">
        <f t="shared" si="16"/>
        <v>0.43816966699372911</v>
      </c>
      <c r="E117" s="119">
        <f t="shared" si="14"/>
        <v>3.8786778922284904</v>
      </c>
      <c r="F117" s="119">
        <f t="shared" si="17"/>
        <v>20.570714151831371</v>
      </c>
      <c r="G117" s="119">
        <f t="shared" si="18"/>
        <v>35.743672910222195</v>
      </c>
      <c r="H117" s="119">
        <f t="shared" si="19"/>
        <v>36.079634323521525</v>
      </c>
      <c r="I117" s="152">
        <f t="shared" si="15"/>
        <v>412.24445068009055</v>
      </c>
      <c r="J117"/>
      <c r="K117" s="49"/>
      <c r="L117" s="49"/>
      <c r="M117" s="49"/>
      <c r="N117" s="49"/>
      <c r="O117" s="49"/>
    </row>
    <row r="118" spans="1:15" ht="16" customHeight="1">
      <c r="A118" s="108">
        <v>1897</v>
      </c>
      <c r="B118" s="152">
        <f>'E9 -Real GDP 1869-1909'!M36</f>
        <v>18.583334422595684</v>
      </c>
      <c r="C118" s="66">
        <f>'E5 - GDP deflator 1790-1909'!E114</f>
        <v>87.843206678862572</v>
      </c>
      <c r="D118" s="119">
        <f t="shared" si="16"/>
        <v>0.43795452563489717</v>
      </c>
      <c r="E118" s="119">
        <f t="shared" si="14"/>
        <v>3.8767734609201101</v>
      </c>
      <c r="F118" s="119">
        <f t="shared" si="17"/>
        <v>21.45102914964853</v>
      </c>
      <c r="G118" s="119">
        <f t="shared" si="18"/>
        <v>37.273308250429288</v>
      </c>
      <c r="H118" s="119">
        <f t="shared" si="19"/>
        <v>37.623646990088432</v>
      </c>
      <c r="I118" s="152">
        <f t="shared" si="15"/>
        <v>429.88627730905426</v>
      </c>
      <c r="J118"/>
      <c r="K118" s="49"/>
      <c r="L118" s="49"/>
      <c r="M118" s="49"/>
      <c r="N118" s="49"/>
      <c r="O118" s="49"/>
    </row>
    <row r="119" spans="1:15" ht="16" customHeight="1">
      <c r="A119" s="108">
        <v>1898</v>
      </c>
      <c r="B119" s="152">
        <f>'E9 -Real GDP 1869-1909'!M37</f>
        <v>20.616515446583112</v>
      </c>
      <c r="C119" s="66">
        <f>'E5 - GDP deflator 1790-1909'!E115</f>
        <v>88.670216435372566</v>
      </c>
      <c r="D119" s="119">
        <f t="shared" si="16"/>
        <v>0.44207769781065653</v>
      </c>
      <c r="E119" s="119">
        <f t="shared" si="14"/>
        <v>3.9132717810199318</v>
      </c>
      <c r="F119" s="119">
        <f t="shared" si="17"/>
        <v>23.797961321252565</v>
      </c>
      <c r="G119" s="119">
        <f t="shared" si="18"/>
        <v>41.351337591808459</v>
      </c>
      <c r="H119" s="119">
        <f t="shared" si="19"/>
        <v>41.740006485854565</v>
      </c>
      <c r="I119" s="152">
        <f t="shared" si="15"/>
        <v>476.91963535025781</v>
      </c>
      <c r="J119"/>
      <c r="K119" s="49"/>
      <c r="L119" s="49"/>
      <c r="M119" s="49"/>
      <c r="N119" s="49"/>
      <c r="O119" s="49"/>
    </row>
    <row r="120" spans="1:15" ht="16" customHeight="1">
      <c r="A120" s="108">
        <v>1899</v>
      </c>
      <c r="B120" s="152">
        <f>'E9 -Real GDP 1869-1909'!M38</f>
        <v>22.019810935534274</v>
      </c>
      <c r="C120" s="66">
        <f>'E5 - GDP deflator 1790-1909'!E116</f>
        <v>89.497226191882561</v>
      </c>
      <c r="D120" s="119">
        <f t="shared" si="16"/>
        <v>0.44620086998641589</v>
      </c>
      <c r="E120" s="119">
        <f t="shared" si="14"/>
        <v>3.9497701011197535</v>
      </c>
      <c r="F120" s="119">
        <f t="shared" si="17"/>
        <v>25.417806918093365</v>
      </c>
      <c r="G120" s="119">
        <f t="shared" si="18"/>
        <v>44.165981300879032</v>
      </c>
      <c r="H120" s="119">
        <f t="shared" si="19"/>
        <v>44.581105553354824</v>
      </c>
      <c r="I120" s="152">
        <f t="shared" si="15"/>
        <v>509.3819190282772</v>
      </c>
      <c r="J120"/>
      <c r="K120" s="49"/>
      <c r="L120" s="49"/>
      <c r="M120" s="49"/>
      <c r="N120" s="49"/>
      <c r="O120" s="49"/>
    </row>
    <row r="121" spans="1:15" ht="16" customHeight="1">
      <c r="A121" s="108">
        <v>1900</v>
      </c>
      <c r="B121" s="152">
        <f>'E9 -Real GDP 1869-1909'!M39</f>
        <v>22.555676852401994</v>
      </c>
      <c r="C121" s="66">
        <f>'E5 - GDP deflator 1790-1909'!E117</f>
        <v>92.048928666208326</v>
      </c>
      <c r="D121" s="119">
        <f t="shared" si="16"/>
        <v>0.45892273760664293</v>
      </c>
      <c r="E121" s="119">
        <f t="shared" si="14"/>
        <v>4.0623840732940035</v>
      </c>
      <c r="F121" s="119">
        <f t="shared" si="17"/>
        <v>26.036365199488543</v>
      </c>
      <c r="G121" s="119">
        <f t="shared" si="18"/>
        <v>45.240788170631291</v>
      </c>
      <c r="H121" s="119">
        <f t="shared" si="19"/>
        <v>45.666014732287579</v>
      </c>
      <c r="I121" s="152">
        <f t="shared" si="15"/>
        <v>521.77804767239002</v>
      </c>
      <c r="J121"/>
      <c r="K121" s="49"/>
      <c r="L121" s="49"/>
      <c r="M121" s="49"/>
      <c r="N121" s="49"/>
      <c r="O121" s="49"/>
    </row>
    <row r="122" spans="1:15" ht="16" customHeight="1">
      <c r="A122" s="108">
        <v>1901</v>
      </c>
      <c r="B122" s="152">
        <f>'E9 -Real GDP 1869-1909'!M40</f>
        <v>23.734426240034555</v>
      </c>
      <c r="C122" s="66">
        <f>'E5 - GDP deflator 1790-1909'!E118</f>
        <v>94.633437679393609</v>
      </c>
      <c r="D122" s="119">
        <f t="shared" si="16"/>
        <v>0.47180816678964932</v>
      </c>
      <c r="E122" s="119">
        <f t="shared" si="14"/>
        <v>4.1764458924219756</v>
      </c>
      <c r="F122" s="119">
        <f t="shared" si="17"/>
        <v>27.397013773056244</v>
      </c>
      <c r="G122" s="119">
        <f t="shared" si="18"/>
        <v>47.605051132062528</v>
      </c>
      <c r="H122" s="119">
        <f t="shared" si="19"/>
        <v>48.052499839941134</v>
      </c>
      <c r="I122" s="152">
        <f t="shared" si="15"/>
        <v>549.0459305294919</v>
      </c>
      <c r="J122"/>
      <c r="K122" s="49"/>
      <c r="L122" s="49"/>
      <c r="M122" s="49"/>
      <c r="N122" s="49"/>
      <c r="O122" s="49"/>
    </row>
    <row r="123" spans="1:15" ht="16" customHeight="1">
      <c r="A123" s="108">
        <v>1902</v>
      </c>
      <c r="B123" s="152">
        <f>'E9 -Real GDP 1869-1909'!M41</f>
        <v>24.931912036815415</v>
      </c>
      <c r="C123" s="66">
        <f>'E5 - GDP deflator 1790-1909'!E119</f>
        <v>97.250753231438452</v>
      </c>
      <c r="D123" s="119">
        <f t="shared" si="16"/>
        <v>0.48485715753543523</v>
      </c>
      <c r="E123" s="119">
        <f t="shared" si="14"/>
        <v>4.2919555585036733</v>
      </c>
      <c r="F123" s="119">
        <f t="shared" si="17"/>
        <v>28.779290072287175</v>
      </c>
      <c r="G123" s="119">
        <f t="shared" si="18"/>
        <v>50.006894429606199</v>
      </c>
      <c r="H123" s="119">
        <f t="shared" si="19"/>
        <v>50.476918508258628</v>
      </c>
      <c r="I123" s="152">
        <f t="shared" si="15"/>
        <v>576.7472407250757</v>
      </c>
      <c r="J123"/>
      <c r="K123" s="49"/>
      <c r="L123" s="49"/>
      <c r="M123" s="49"/>
      <c r="N123" s="49"/>
      <c r="O123" s="49"/>
    </row>
    <row r="124" spans="1:15" ht="16" customHeight="1">
      <c r="A124" s="108">
        <v>1903</v>
      </c>
      <c r="B124" s="152">
        <f>'E9 -Real GDP 1869-1909'!M42</f>
        <v>25.634357208688595</v>
      </c>
      <c r="C124" s="66">
        <f>'E5 - GDP deflator 1790-1909'!E120</f>
        <v>101.82204600161866</v>
      </c>
      <c r="D124" s="119">
        <f t="shared" si="16"/>
        <v>0.5076479734948468</v>
      </c>
      <c r="E124" s="119">
        <f t="shared" si="14"/>
        <v>4.4936998613763839</v>
      </c>
      <c r="F124" s="119">
        <f t="shared" si="17"/>
        <v>29.590133353434819</v>
      </c>
      <c r="G124" s="119">
        <f t="shared" si="18"/>
        <v>51.415815714928343</v>
      </c>
      <c r="H124" s="119">
        <f t="shared" si="19"/>
        <v>51.899082506142328</v>
      </c>
      <c r="I124" s="152">
        <f t="shared" si="15"/>
        <v>592.99682936634281</v>
      </c>
      <c r="J124"/>
      <c r="K124" s="49"/>
      <c r="L124" s="49"/>
      <c r="M124" s="49"/>
      <c r="N124" s="49"/>
      <c r="O124" s="49"/>
    </row>
    <row r="125" spans="1:15" ht="16" customHeight="1">
      <c r="A125" s="108">
        <v>1904</v>
      </c>
      <c r="B125" s="152">
        <f>'E9 -Real GDP 1869-1909'!M43</f>
        <v>24.699489794756822</v>
      </c>
      <c r="C125" s="66">
        <f>'E5 - GDP deflator 1790-1909'!E121</f>
        <v>104.53778117024213</v>
      </c>
      <c r="D125" s="119">
        <f t="shared" si="16"/>
        <v>0.52118764892897107</v>
      </c>
      <c r="E125" s="119">
        <f t="shared" si="14"/>
        <v>4.613553068319252</v>
      </c>
      <c r="F125" s="119">
        <f t="shared" si="17"/>
        <v>28.511001498447413</v>
      </c>
      <c r="G125" s="119">
        <f t="shared" si="18"/>
        <v>49.540716203702225</v>
      </c>
      <c r="H125" s="119">
        <f t="shared" si="19"/>
        <v>50.006358586718129</v>
      </c>
      <c r="I125" s="152">
        <f t="shared" si="15"/>
        <v>571.37064198718156</v>
      </c>
      <c r="J125"/>
      <c r="K125" s="49"/>
      <c r="L125" s="49"/>
      <c r="M125" s="49"/>
      <c r="N125" s="49"/>
      <c r="O125" s="49"/>
    </row>
    <row r="126" spans="1:15" ht="16" customHeight="1">
      <c r="A126" s="108">
        <v>1905</v>
      </c>
      <c r="B126" s="152">
        <f>'E9 -Real GDP 1869-1909'!M44</f>
        <v>27.462646208259329</v>
      </c>
      <c r="C126" s="66">
        <f>'E5 - GDP deflator 1790-1909'!E122</f>
        <v>105.29953912073022</v>
      </c>
      <c r="D126" s="119">
        <f t="shared" si="16"/>
        <v>0.52498549914946968</v>
      </c>
      <c r="E126" s="119">
        <f t="shared" si="14"/>
        <v>4.6471716384711055</v>
      </c>
      <c r="F126" s="119">
        <f t="shared" si="17"/>
        <v>31.700555505451153</v>
      </c>
      <c r="G126" s="119">
        <f t="shared" si="18"/>
        <v>55.082885246271921</v>
      </c>
      <c r="H126" s="119">
        <f t="shared" si="19"/>
        <v>55.600619504371906</v>
      </c>
      <c r="I126" s="152">
        <f t="shared" si="15"/>
        <v>635.29044223459675</v>
      </c>
      <c r="J126"/>
      <c r="K126" s="49"/>
      <c r="L126" s="49"/>
      <c r="M126" s="49"/>
      <c r="N126" s="49"/>
      <c r="O126" s="49"/>
    </row>
    <row r="127" spans="1:15" ht="16" customHeight="1">
      <c r="A127" s="108">
        <v>1906</v>
      </c>
      <c r="B127" s="152">
        <f>'E9 -Real GDP 1869-1909'!M45</f>
        <v>28.556011047892369</v>
      </c>
      <c r="C127" s="66">
        <f>'E5 - GDP deflator 1790-1909'!E123</f>
        <v>109.05787597614045</v>
      </c>
      <c r="D127" s="119">
        <f t="shared" si="16"/>
        <v>0.54372321031596571</v>
      </c>
      <c r="E127" s="119">
        <f t="shared" si="14"/>
        <v>4.813037857716929</v>
      </c>
      <c r="F127" s="119">
        <f t="shared" si="17"/>
        <v>32.962643380146631</v>
      </c>
      <c r="G127" s="119">
        <f t="shared" si="18"/>
        <v>57.275889137342787</v>
      </c>
      <c r="H127" s="119">
        <f t="shared" si="19"/>
        <v>57.814235845888632</v>
      </c>
      <c r="I127" s="152">
        <f t="shared" si="15"/>
        <v>660.58313352249343</v>
      </c>
      <c r="J127"/>
      <c r="K127" s="49"/>
      <c r="L127" s="49"/>
      <c r="M127" s="49"/>
      <c r="N127" s="49"/>
      <c r="O127" s="49"/>
    </row>
    <row r="128" spans="1:15" ht="16" customHeight="1">
      <c r="A128" s="108">
        <v>1907</v>
      </c>
      <c r="B128" s="152">
        <f>'E9 -Real GDP 1869-1909'!M46</f>
        <v>29.259204876687292</v>
      </c>
      <c r="C128" s="66">
        <f>'E5 - GDP deflator 1790-1909'!E124</f>
        <v>115.96042116134078</v>
      </c>
      <c r="D128" s="119">
        <f t="shared" si="16"/>
        <v>0.57813680946096668</v>
      </c>
      <c r="E128" s="119">
        <f t="shared" si="14"/>
        <v>5.1176670373484772</v>
      </c>
      <c r="F128" s="119">
        <f t="shared" si="17"/>
        <v>33.774350847510064</v>
      </c>
      <c r="G128" s="119">
        <f t="shared" si="18"/>
        <v>58.686312032633488</v>
      </c>
      <c r="H128" s="119">
        <f t="shared" si="19"/>
        <v>59.237915567651584</v>
      </c>
      <c r="I128" s="152">
        <f t="shared" si="15"/>
        <v>676.85004076384348</v>
      </c>
      <c r="J128"/>
      <c r="K128" s="49"/>
      <c r="L128" s="49"/>
      <c r="M128" s="49"/>
      <c r="N128" s="49"/>
      <c r="O128" s="49"/>
    </row>
    <row r="129" spans="1:15" ht="16" customHeight="1">
      <c r="A129" s="108">
        <v>1908</v>
      </c>
      <c r="B129" s="152">
        <f>'E9 -Real GDP 1869-1909'!M47</f>
        <v>26.065705485237654</v>
      </c>
      <c r="C129" s="66">
        <f>'E5 - GDP deflator 1790-1909'!E125</f>
        <v>115.72878723333142</v>
      </c>
      <c r="D129" s="119">
        <f t="shared" si="16"/>
        <v>0.57698196629326282</v>
      </c>
      <c r="E129" s="119">
        <f t="shared" si="14"/>
        <v>5.1074443656279627</v>
      </c>
      <c r="F129" s="119">
        <f t="shared" si="17"/>
        <v>30.08804531280062</v>
      </c>
      <c r="G129" s="119">
        <f t="shared" si="18"/>
        <v>52.280987535522357</v>
      </c>
      <c r="H129" s="119">
        <f t="shared" si="19"/>
        <v>52.772386237195668</v>
      </c>
      <c r="I129" s="152">
        <f t="shared" si="15"/>
        <v>602.97516267362505</v>
      </c>
      <c r="J129"/>
      <c r="K129" s="49"/>
      <c r="L129" s="49"/>
      <c r="M129" s="49"/>
      <c r="N129" s="49"/>
      <c r="O129" s="170"/>
    </row>
    <row r="130" spans="1:15" ht="16" customHeight="1">
      <c r="A130" s="108">
        <v>1909</v>
      </c>
      <c r="B130" s="152">
        <f>'E9 -Real GDP 1869-1909'!M48</f>
        <v>29.164472668060036</v>
      </c>
      <c r="C130" s="66">
        <f>'E5 - GDP deflator 1790-1909'!E126</f>
        <v>115.43154022760298</v>
      </c>
      <c r="D130" s="119">
        <v>0.57550000000000001</v>
      </c>
      <c r="E130" s="119">
        <f t="shared" si="14"/>
        <v>5.0943260000000006</v>
      </c>
      <c r="F130" s="119">
        <f t="shared" si="17"/>
        <v>33.664999999999999</v>
      </c>
      <c r="G130" s="119">
        <f t="shared" si="18"/>
        <v>58.496304000000002</v>
      </c>
      <c r="H130" s="119">
        <f t="shared" si="19"/>
        <v>59.046121614266688</v>
      </c>
      <c r="I130" s="152">
        <f t="shared" si="15"/>
        <v>674.65861076630119</v>
      </c>
      <c r="J130"/>
      <c r="K130" s="49"/>
      <c r="L130" s="49"/>
      <c r="M130" s="49"/>
      <c r="N130" s="49"/>
      <c r="O130" s="49"/>
    </row>
    <row r="131" spans="1:15" ht="13.75" customHeight="1">
      <c r="A131" s="6"/>
      <c r="B131" s="49"/>
      <c r="C131" s="49"/>
      <c r="D131" s="49"/>
      <c r="E131" s="49"/>
      <c r="F131" s="49"/>
      <c r="G131" s="49"/>
      <c r="H131" s="49"/>
      <c r="I131" s="49"/>
      <c r="J131" s="49"/>
      <c r="K131" s="49"/>
      <c r="L131" s="49"/>
      <c r="M131" s="49"/>
      <c r="N131" s="49"/>
      <c r="O131" s="49"/>
    </row>
    <row r="132" spans="1:15" ht="16" customHeight="1">
      <c r="A132" s="6"/>
      <c r="B132" s="240" t="s">
        <v>598</v>
      </c>
      <c r="C132" s="241"/>
      <c r="D132" s="241"/>
      <c r="E132" s="241"/>
      <c r="F132" s="241"/>
      <c r="G132" s="241"/>
      <c r="H132" s="241"/>
      <c r="I132" s="241"/>
      <c r="J132" s="241"/>
      <c r="K132" s="49"/>
      <c r="L132" s="49"/>
      <c r="M132" s="49"/>
      <c r="N132" s="49"/>
      <c r="O132" s="49"/>
    </row>
    <row r="133" spans="1:15" ht="16" customHeight="1">
      <c r="A133" s="6"/>
      <c r="B133" s="58"/>
      <c r="C133" s="58"/>
      <c r="D133" s="58"/>
      <c r="E133" s="58"/>
      <c r="F133" s="58"/>
      <c r="G133" s="58"/>
      <c r="H133" s="58"/>
      <c r="I133" s="58"/>
      <c r="J133" s="58"/>
      <c r="K133" s="49"/>
      <c r="L133" s="49"/>
      <c r="M133" s="49"/>
      <c r="N133" s="49"/>
      <c r="O133" s="49"/>
    </row>
    <row r="134" spans="1:15" ht="16" customHeight="1">
      <c r="A134" s="6"/>
      <c r="B134" s="58"/>
      <c r="C134" s="171" t="s">
        <v>580</v>
      </c>
      <c r="D134" s="58"/>
      <c r="E134" s="58"/>
      <c r="F134" s="58"/>
      <c r="G134" s="58"/>
      <c r="H134" s="58"/>
      <c r="I134" s="58"/>
      <c r="J134" s="58"/>
      <c r="K134" s="49"/>
      <c r="L134" s="49"/>
      <c r="M134" s="49"/>
      <c r="N134" s="49"/>
      <c r="O134" s="49"/>
    </row>
    <row r="135" spans="1:15" ht="16" customHeight="1">
      <c r="A135" s="6"/>
      <c r="B135" s="58"/>
      <c r="C135" s="171" t="s">
        <v>581</v>
      </c>
      <c r="D135" s="58"/>
      <c r="E135" s="58"/>
      <c r="F135" s="58"/>
      <c r="G135" s="58"/>
      <c r="H135" s="58"/>
      <c r="I135" s="58"/>
      <c r="J135" s="58"/>
      <c r="K135" s="49"/>
      <c r="L135" s="49"/>
      <c r="M135" s="49"/>
      <c r="N135" s="49"/>
      <c r="O135" s="49"/>
    </row>
    <row r="136" spans="1:15" ht="16" customHeight="1">
      <c r="A136" s="6"/>
      <c r="B136" s="58"/>
      <c r="C136" s="67">
        <f>('E5 - GDP deflator 1790-1909'!E126)/100</f>
        <v>1.1543154022760298</v>
      </c>
      <c r="D136" s="67"/>
      <c r="E136" s="67"/>
      <c r="F136" s="119"/>
      <c r="G136" s="119"/>
      <c r="H136" s="58"/>
      <c r="I136" s="58"/>
      <c r="J136" s="58"/>
      <c r="K136" s="49"/>
      <c r="L136" s="49"/>
      <c r="M136" s="49"/>
      <c r="N136" s="49"/>
      <c r="O136" s="49"/>
    </row>
    <row r="137" spans="1:15" ht="16" customHeight="1">
      <c r="A137" s="6"/>
      <c r="B137" s="58"/>
      <c r="C137" s="58"/>
      <c r="D137" s="58"/>
      <c r="E137" s="58"/>
      <c r="F137" s="58"/>
      <c r="G137" s="58"/>
      <c r="H137" s="58"/>
      <c r="I137" s="58"/>
      <c r="J137" s="58"/>
      <c r="K137" s="49"/>
      <c r="L137" s="49"/>
      <c r="M137" s="49"/>
      <c r="N137" s="49"/>
      <c r="O137" s="49"/>
    </row>
    <row r="138" spans="1:15" ht="16" customHeight="1">
      <c r="A138" s="6"/>
      <c r="B138" s="58"/>
      <c r="C138" s="171" t="s">
        <v>582</v>
      </c>
      <c r="D138" s="58"/>
      <c r="E138" s="58"/>
      <c r="F138" s="58"/>
      <c r="G138" s="58"/>
      <c r="H138" s="49"/>
      <c r="I138" s="49"/>
      <c r="J138" s="49"/>
      <c r="K138" s="49"/>
      <c r="L138" s="49"/>
      <c r="M138" s="49"/>
      <c r="N138" s="49"/>
      <c r="O138" s="49"/>
    </row>
    <row r="139" spans="1:15" ht="16" customHeight="1">
      <c r="A139" s="6"/>
      <c r="B139" s="172" t="s">
        <v>583</v>
      </c>
      <c r="C139" s="49"/>
      <c r="D139" s="49"/>
      <c r="E139" s="49"/>
      <c r="F139" s="58"/>
      <c r="G139" s="58"/>
      <c r="H139" s="49"/>
      <c r="I139" s="49"/>
      <c r="J139" s="49"/>
      <c r="K139" s="49"/>
      <c r="L139" s="49"/>
      <c r="M139" s="49"/>
      <c r="N139" s="49"/>
      <c r="O139" s="49"/>
    </row>
    <row r="140" spans="1:15" ht="16" customHeight="1">
      <c r="A140" s="6"/>
      <c r="B140" s="58"/>
      <c r="C140" s="171" t="s">
        <v>584</v>
      </c>
      <c r="D140" s="173"/>
      <c r="E140" s="173"/>
      <c r="F140" s="117">
        <v>1.7376</v>
      </c>
      <c r="G140" s="119"/>
      <c r="H140" s="49"/>
      <c r="I140" s="49"/>
      <c r="J140" s="49"/>
      <c r="K140" s="49"/>
      <c r="L140" s="49"/>
      <c r="M140" s="49"/>
      <c r="N140" s="49"/>
      <c r="O140" s="49"/>
    </row>
    <row r="141" spans="1:15" ht="16" customHeight="1">
      <c r="A141" s="6"/>
      <c r="B141" s="58"/>
      <c r="C141" s="58"/>
      <c r="D141" s="58"/>
      <c r="E141" s="58"/>
      <c r="F141" s="58"/>
      <c r="G141" s="58"/>
      <c r="H141" s="49"/>
      <c r="I141" s="49"/>
      <c r="J141" s="49"/>
      <c r="K141" s="49"/>
      <c r="L141" s="49"/>
      <c r="M141" s="49"/>
      <c r="N141" s="49"/>
      <c r="O141" s="49"/>
    </row>
    <row r="142" spans="1:15" ht="16" customHeight="1">
      <c r="A142" s="6"/>
      <c r="B142" s="58"/>
      <c r="C142" s="171" t="s">
        <v>585</v>
      </c>
      <c r="D142" s="58"/>
      <c r="E142" s="58"/>
      <c r="F142" s="58"/>
      <c r="G142" s="58"/>
      <c r="H142" s="49"/>
      <c r="I142" s="49"/>
      <c r="J142" s="49"/>
      <c r="K142" s="49"/>
      <c r="L142" s="49"/>
      <c r="M142" s="49"/>
      <c r="N142" s="49"/>
      <c r="O142" s="49"/>
    </row>
    <row r="143" spans="1:15" ht="16" customHeight="1">
      <c r="A143" s="6"/>
      <c r="B143" s="171" t="s">
        <v>586</v>
      </c>
      <c r="C143" s="58"/>
      <c r="D143" s="58"/>
      <c r="E143" s="58"/>
      <c r="F143" s="58"/>
      <c r="G143" s="58"/>
      <c r="H143" s="49"/>
      <c r="I143" s="49"/>
      <c r="J143" s="49"/>
      <c r="K143" s="49"/>
      <c r="L143" s="49"/>
      <c r="M143" s="49"/>
      <c r="N143" s="49"/>
      <c r="O143" s="49"/>
    </row>
    <row r="144" spans="1:15" ht="18" customHeight="1">
      <c r="A144" s="6"/>
      <c r="B144" s="58"/>
      <c r="C144" s="174">
        <f>104600/103626</f>
        <v>1.0093991855325883</v>
      </c>
      <c r="D144" s="175"/>
      <c r="E144" s="175"/>
      <c r="F144" s="175"/>
      <c r="G144" s="175"/>
      <c r="H144" s="49"/>
      <c r="I144" s="49"/>
      <c r="J144" s="49"/>
      <c r="K144" s="49"/>
      <c r="L144" s="49"/>
      <c r="M144" s="49"/>
      <c r="N144" s="49"/>
      <c r="O144" s="49"/>
    </row>
    <row r="145" spans="1:15" ht="18" customHeight="1">
      <c r="A145" s="6"/>
      <c r="B145" s="58"/>
      <c r="C145" s="174"/>
      <c r="D145" s="175"/>
      <c r="E145" s="175"/>
      <c r="F145" s="175"/>
      <c r="G145" s="175"/>
      <c r="H145" s="49"/>
      <c r="I145" s="49"/>
      <c r="J145" s="49"/>
      <c r="K145" s="49"/>
      <c r="L145" s="49"/>
      <c r="M145" s="49"/>
      <c r="N145" s="49"/>
      <c r="O145" s="49"/>
    </row>
    <row r="146" spans="1:15" ht="18" customHeight="1">
      <c r="A146" s="6"/>
      <c r="B146" s="210" t="s">
        <v>600</v>
      </c>
      <c r="C146" s="174"/>
      <c r="D146" s="175"/>
      <c r="E146" s="175"/>
      <c r="F146" s="175"/>
      <c r="G146" s="175"/>
      <c r="H146" s="49"/>
      <c r="I146" s="49"/>
      <c r="J146" s="49"/>
      <c r="K146" s="49"/>
      <c r="L146" s="49"/>
      <c r="M146" s="49"/>
      <c r="N146" s="49"/>
      <c r="O146" s="49"/>
    </row>
    <row r="147" spans="1:15" ht="16" customHeight="1">
      <c r="A147" s="6"/>
      <c r="B147" s="58"/>
      <c r="C147" s="49"/>
      <c r="D147" s="49"/>
      <c r="E147" s="49"/>
      <c r="F147" s="58"/>
      <c r="G147" s="58"/>
      <c r="H147" s="58"/>
      <c r="I147" s="58"/>
      <c r="J147" s="58"/>
      <c r="K147" s="49"/>
      <c r="L147" s="49"/>
      <c r="M147" s="49"/>
      <c r="N147" s="49"/>
      <c r="O147" s="49"/>
    </row>
    <row r="148" spans="1:15" ht="13.75" customHeight="1">
      <c r="A148" s="6"/>
      <c r="B148" s="49"/>
      <c r="C148" s="199" t="s">
        <v>627</v>
      </c>
      <c r="D148" s="209"/>
      <c r="E148" s="49"/>
      <c r="F148" s="49"/>
      <c r="G148" s="49"/>
      <c r="H148" s="49"/>
      <c r="I148" s="49"/>
      <c r="J148" s="49"/>
      <c r="K148" s="49"/>
      <c r="L148" s="49"/>
      <c r="M148" s="49"/>
      <c r="N148" s="49"/>
      <c r="O148" s="49"/>
    </row>
    <row r="149" spans="1:15" ht="18" customHeight="1">
      <c r="A149" s="6"/>
      <c r="B149" s="49"/>
      <c r="C149" s="208">
        <f>(100/'E11 - GDP 1790-2022'!D150)</f>
        <v>11.425959780621572</v>
      </c>
      <c r="E149" s="49"/>
      <c r="F149" s="49"/>
      <c r="G149" s="49"/>
      <c r="H149" s="49"/>
      <c r="I149" s="49"/>
      <c r="J149" s="49"/>
      <c r="K149" s="49"/>
      <c r="L149" s="49"/>
      <c r="M149" s="49"/>
      <c r="N149" s="49"/>
      <c r="O149" s="49"/>
    </row>
    <row r="150" spans="1:15" ht="13.75" customHeight="1">
      <c r="A150" s="6"/>
      <c r="B150" s="49"/>
      <c r="C150" s="49"/>
      <c r="D150" s="49"/>
      <c r="E150" s="49"/>
      <c r="F150" s="49"/>
      <c r="G150" s="49"/>
      <c r="H150" s="49"/>
      <c r="I150" s="49"/>
      <c r="J150" s="49"/>
      <c r="K150" s="49"/>
      <c r="L150" s="49"/>
      <c r="M150" s="49"/>
      <c r="N150" s="49"/>
      <c r="O150" s="49"/>
    </row>
    <row r="151" spans="1:15" ht="13.75" customHeight="1">
      <c r="A151" s="6"/>
      <c r="B151" s="49"/>
      <c r="C151" s="49"/>
      <c r="D151" s="49"/>
      <c r="E151" s="49"/>
      <c r="F151" s="49"/>
      <c r="G151" s="49"/>
      <c r="H151" s="49"/>
      <c r="I151" s="49"/>
      <c r="J151" s="49"/>
      <c r="K151" s="49"/>
      <c r="L151" s="49"/>
      <c r="M151" s="49"/>
      <c r="N151" s="49"/>
      <c r="O151" s="49"/>
    </row>
    <row r="152" spans="1:15" ht="13.75" customHeight="1">
      <c r="A152" s="6"/>
      <c r="B152" s="49"/>
      <c r="C152" s="49"/>
      <c r="D152" s="49"/>
      <c r="E152" s="49"/>
      <c r="F152" s="49"/>
      <c r="G152" s="49"/>
      <c r="H152" s="49"/>
      <c r="I152" s="49"/>
      <c r="J152" s="49"/>
      <c r="K152" s="49"/>
      <c r="L152" s="49"/>
      <c r="M152" s="49"/>
      <c r="N152" s="49"/>
      <c r="O152" s="49"/>
    </row>
    <row r="153" spans="1:15" ht="13.75" customHeight="1">
      <c r="A153" s="6"/>
      <c r="B153" s="49"/>
      <c r="C153" s="49"/>
      <c r="D153" s="49"/>
      <c r="E153" s="49"/>
      <c r="F153" s="49"/>
      <c r="G153" s="49"/>
      <c r="H153" s="49"/>
      <c r="I153" s="49"/>
      <c r="J153" s="49"/>
      <c r="K153" s="49"/>
      <c r="L153" s="49"/>
      <c r="M153" s="49"/>
      <c r="N153" s="49"/>
      <c r="O153" s="49"/>
    </row>
    <row r="154" spans="1:15" ht="13.75" customHeight="1">
      <c r="A154" s="6"/>
      <c r="B154" s="49"/>
      <c r="C154" s="49"/>
      <c r="D154" s="49"/>
      <c r="E154" s="49"/>
      <c r="F154" s="49"/>
      <c r="G154" s="49"/>
      <c r="H154" s="49"/>
      <c r="I154" s="49"/>
      <c r="J154" s="49"/>
      <c r="K154" s="49"/>
      <c r="L154" s="49"/>
      <c r="M154" s="49"/>
      <c r="N154" s="49"/>
      <c r="O154" s="49"/>
    </row>
    <row r="155" spans="1:15" ht="13.75" customHeight="1">
      <c r="A155" s="6"/>
      <c r="B155" s="49"/>
      <c r="C155" s="49"/>
      <c r="D155" s="49"/>
      <c r="E155" s="49"/>
      <c r="F155" s="49"/>
      <c r="G155" s="49"/>
      <c r="H155" s="49"/>
      <c r="I155" s="49"/>
      <c r="J155" s="49"/>
      <c r="K155" s="49"/>
      <c r="L155" s="49"/>
      <c r="M155" s="49"/>
      <c r="N155" s="49"/>
      <c r="O155" s="49"/>
    </row>
    <row r="156" spans="1:15" ht="13.75" customHeight="1">
      <c r="A156" s="6"/>
      <c r="B156" s="49"/>
      <c r="C156" s="49"/>
      <c r="D156" s="49"/>
      <c r="E156" s="49"/>
      <c r="F156" s="49"/>
      <c r="G156" s="49"/>
      <c r="H156" s="49"/>
      <c r="I156" s="49"/>
      <c r="J156" s="49"/>
      <c r="K156" s="49"/>
      <c r="L156" s="49"/>
      <c r="M156" s="49"/>
      <c r="N156" s="49"/>
      <c r="O156" s="49"/>
    </row>
    <row r="157" spans="1:15" ht="13.75" customHeight="1">
      <c r="A157" s="6"/>
      <c r="B157" s="49"/>
      <c r="C157" s="49"/>
      <c r="D157" s="49"/>
      <c r="E157" s="49"/>
      <c r="F157" s="49"/>
      <c r="G157" s="49"/>
      <c r="H157" s="49"/>
      <c r="I157" s="49"/>
      <c r="J157" s="49"/>
      <c r="K157" s="49"/>
      <c r="L157" s="49"/>
      <c r="M157" s="49"/>
      <c r="N157" s="49"/>
      <c r="O157" s="49"/>
    </row>
    <row r="158" spans="1:15" ht="13.75" customHeight="1">
      <c r="A158" s="6"/>
      <c r="B158" s="49"/>
      <c r="C158" s="49"/>
      <c r="D158" s="49"/>
      <c r="E158" s="49"/>
      <c r="F158" s="49"/>
      <c r="G158" s="49"/>
      <c r="H158" s="49"/>
      <c r="I158" s="49"/>
      <c r="J158" s="49"/>
      <c r="K158" s="49"/>
      <c r="L158" s="49"/>
      <c r="M158" s="49"/>
      <c r="N158" s="49"/>
      <c r="O158" s="49"/>
    </row>
    <row r="159" spans="1:15" ht="13.75" customHeight="1">
      <c r="A159" s="6"/>
      <c r="B159" s="49"/>
      <c r="C159" s="49"/>
      <c r="D159" s="49"/>
      <c r="E159" s="49"/>
      <c r="F159" s="49"/>
      <c r="G159" s="49"/>
      <c r="H159" s="49"/>
      <c r="I159" s="49"/>
      <c r="J159" s="49"/>
      <c r="K159" s="49"/>
      <c r="L159" s="49"/>
      <c r="M159" s="49"/>
      <c r="N159" s="49"/>
      <c r="O159" s="49"/>
    </row>
    <row r="160" spans="1:15" ht="13.75" customHeight="1">
      <c r="A160" s="6"/>
      <c r="B160" s="49"/>
      <c r="C160" s="49"/>
      <c r="D160" s="49"/>
      <c r="E160" s="49"/>
      <c r="F160" s="49"/>
      <c r="G160" s="49"/>
      <c r="H160" s="49"/>
      <c r="I160" s="49"/>
      <c r="J160" s="49"/>
      <c r="K160" s="49"/>
      <c r="L160" s="49"/>
      <c r="M160" s="49"/>
      <c r="N160" s="49"/>
      <c r="O160" s="49"/>
    </row>
    <row r="161" spans="1:15" ht="13.75" customHeight="1">
      <c r="A161" s="6"/>
      <c r="B161" s="49"/>
      <c r="C161" s="49"/>
      <c r="D161" s="49"/>
      <c r="E161" s="49"/>
      <c r="F161" s="49"/>
      <c r="G161" s="49"/>
      <c r="H161" s="49"/>
      <c r="I161" s="49"/>
      <c r="J161" s="49"/>
      <c r="K161" s="49"/>
      <c r="L161" s="49"/>
      <c r="M161" s="49"/>
      <c r="N161" s="49"/>
      <c r="O161" s="49"/>
    </row>
    <row r="162" spans="1:15" ht="13.75" customHeight="1">
      <c r="A162" s="6"/>
      <c r="B162" s="49"/>
      <c r="C162" s="49"/>
      <c r="D162" s="49"/>
      <c r="E162" s="49"/>
      <c r="F162" s="49"/>
      <c r="G162" s="49"/>
      <c r="H162" s="49"/>
      <c r="I162" s="49"/>
      <c r="J162" s="49"/>
      <c r="K162" s="49"/>
      <c r="L162" s="49"/>
      <c r="M162" s="49"/>
      <c r="N162" s="49"/>
      <c r="O162" s="49"/>
    </row>
    <row r="163" spans="1:15" ht="13.75" customHeight="1">
      <c r="A163" s="6"/>
      <c r="B163" s="49"/>
      <c r="C163" s="49"/>
      <c r="D163" s="49"/>
      <c r="E163" s="49"/>
      <c r="F163" s="49"/>
      <c r="G163" s="49"/>
      <c r="H163" s="49"/>
      <c r="I163" s="49"/>
      <c r="J163" s="49"/>
      <c r="K163" s="49"/>
      <c r="L163" s="49"/>
      <c r="M163" s="49"/>
      <c r="N163" s="49"/>
      <c r="O163" s="49"/>
    </row>
    <row r="164" spans="1:15" ht="13.75" customHeight="1">
      <c r="A164" s="6"/>
      <c r="B164" s="49"/>
      <c r="C164" s="49"/>
      <c r="D164" s="49"/>
      <c r="E164" s="49"/>
      <c r="F164" s="49"/>
      <c r="G164" s="49"/>
      <c r="H164" s="49"/>
      <c r="I164" s="49"/>
      <c r="J164" s="49"/>
      <c r="K164" s="49"/>
      <c r="L164" s="49"/>
      <c r="M164" s="49"/>
      <c r="N164" s="49"/>
      <c r="O164" s="49"/>
    </row>
    <row r="165" spans="1:15" ht="13.75" customHeight="1">
      <c r="A165" s="6"/>
      <c r="B165" s="49"/>
      <c r="C165" s="49"/>
      <c r="D165" s="49"/>
      <c r="E165" s="49"/>
      <c r="F165" s="49"/>
      <c r="G165" s="49"/>
      <c r="H165" s="49"/>
      <c r="I165" s="49"/>
      <c r="J165" s="49"/>
      <c r="K165" s="49"/>
      <c r="L165" s="49"/>
      <c r="M165" s="49"/>
      <c r="N165" s="49"/>
      <c r="O165" s="49"/>
    </row>
    <row r="166" spans="1:15" ht="13.75" customHeight="1">
      <c r="A166" s="6"/>
      <c r="B166" s="49"/>
      <c r="C166" s="49"/>
      <c r="D166" s="49"/>
      <c r="E166" s="49"/>
      <c r="F166" s="49"/>
      <c r="G166" s="49"/>
      <c r="H166" s="49"/>
      <c r="I166" s="49"/>
      <c r="J166" s="49"/>
      <c r="K166" s="49"/>
      <c r="L166" s="49"/>
      <c r="M166" s="49"/>
      <c r="N166" s="49"/>
      <c r="O166" s="49"/>
    </row>
    <row r="167" spans="1:15" ht="13.75" customHeight="1">
      <c r="A167" s="6"/>
      <c r="B167" s="49"/>
      <c r="C167" s="49"/>
      <c r="D167" s="49"/>
      <c r="E167" s="49"/>
      <c r="F167" s="49"/>
      <c r="G167" s="49"/>
      <c r="H167" s="49"/>
      <c r="I167" s="49"/>
      <c r="J167" s="49"/>
      <c r="K167" s="49"/>
      <c r="L167" s="49"/>
      <c r="M167" s="49"/>
      <c r="N167" s="49"/>
      <c r="O167" s="49"/>
    </row>
    <row r="168" spans="1:15" ht="13.75" customHeight="1">
      <c r="A168" s="6"/>
      <c r="B168" s="49"/>
      <c r="C168" s="49"/>
      <c r="D168" s="49"/>
      <c r="E168" s="49"/>
      <c r="F168" s="49"/>
      <c r="G168" s="49"/>
      <c r="H168" s="49"/>
      <c r="I168" s="49"/>
      <c r="J168" s="49"/>
      <c r="K168" s="49"/>
      <c r="L168" s="49"/>
      <c r="M168" s="49"/>
      <c r="N168" s="49"/>
      <c r="O168" s="49"/>
    </row>
    <row r="169" spans="1:15" ht="13.75" customHeight="1">
      <c r="A169" s="6"/>
      <c r="B169" s="49"/>
      <c r="C169" s="49"/>
      <c r="D169" s="49"/>
      <c r="E169" s="49"/>
      <c r="F169" s="49"/>
      <c r="G169" s="49"/>
      <c r="H169" s="49"/>
      <c r="I169" s="49"/>
      <c r="J169" s="49"/>
      <c r="K169" s="49"/>
      <c r="L169" s="49"/>
      <c r="M169" s="49"/>
      <c r="N169" s="49"/>
      <c r="O169" s="49"/>
    </row>
    <row r="170" spans="1:15" ht="13.75" customHeight="1">
      <c r="A170" s="237" t="s">
        <v>460</v>
      </c>
      <c r="B170" s="238"/>
      <c r="C170" s="238"/>
      <c r="D170" s="238"/>
      <c r="E170" s="238"/>
      <c r="F170" s="238"/>
      <c r="G170" s="238"/>
      <c r="H170" s="238"/>
      <c r="I170" s="238"/>
      <c r="J170" s="238"/>
      <c r="K170" s="238"/>
      <c r="L170" s="49"/>
      <c r="M170" s="49"/>
      <c r="N170" s="49"/>
      <c r="O170" s="49"/>
    </row>
    <row r="171" spans="1:15" ht="13.75" customHeight="1">
      <c r="A171" s="238"/>
      <c r="B171" s="238"/>
      <c r="C171" s="238"/>
      <c r="D171" s="238"/>
      <c r="E171" s="238"/>
      <c r="F171" s="238"/>
      <c r="G171" s="238"/>
      <c r="H171" s="238"/>
      <c r="I171" s="238"/>
      <c r="J171" s="238"/>
      <c r="K171" s="238"/>
      <c r="L171" s="49"/>
      <c r="M171" s="49"/>
      <c r="N171" s="49"/>
      <c r="O171" s="49"/>
    </row>
    <row r="172" spans="1:15" ht="33.75" customHeight="1">
      <c r="A172" s="238"/>
      <c r="B172" s="238"/>
      <c r="C172" s="238"/>
      <c r="D172" s="238"/>
      <c r="E172" s="238"/>
      <c r="F172" s="238"/>
      <c r="G172" s="238"/>
      <c r="H172" s="238"/>
      <c r="I172" s="238"/>
      <c r="J172" s="238"/>
      <c r="K172" s="238"/>
      <c r="L172" s="49"/>
      <c r="M172" s="49"/>
      <c r="N172" s="49"/>
      <c r="O172" s="49"/>
    </row>
  </sheetData>
  <mergeCells count="2">
    <mergeCell ref="B132:J132"/>
    <mergeCell ref="A170:K172"/>
  </mergeCells>
  <pageMargins left="0.75" right="0.75" top="1" bottom="1" header="0.5" footer="0.5"/>
  <pageSetup orientation="portrait"/>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91"/>
  <sheetViews>
    <sheetView showGridLines="0" topLeftCell="A155" workbookViewId="0"/>
  </sheetViews>
  <sheetFormatPr baseColWidth="10" defaultColWidth="9.1640625" defaultRowHeight="16" customHeight="1"/>
  <cols>
    <col min="1" max="1" width="9.1640625" style="4" customWidth="1"/>
    <col min="2" max="2" width="9.1640625" style="4" hidden="1" customWidth="1"/>
    <col min="3" max="3" width="5.5" style="4" customWidth="1"/>
    <col min="4" max="4" width="9.1640625" style="4" hidden="1" customWidth="1"/>
    <col min="5" max="6" width="9.1640625" style="4" customWidth="1"/>
    <col min="7" max="16384" width="9.1640625" style="4"/>
  </cols>
  <sheetData>
    <row r="1" spans="1:5" ht="17.5" customHeight="1">
      <c r="A1" s="8" t="s">
        <v>91</v>
      </c>
      <c r="B1" s="6"/>
      <c r="C1" s="6"/>
      <c r="D1" s="6"/>
      <c r="E1" s="6"/>
    </row>
    <row r="2" spans="1:5" ht="17.5" customHeight="1">
      <c r="A2" s="8" t="s">
        <v>92</v>
      </c>
      <c r="B2" s="6"/>
      <c r="C2" s="6"/>
      <c r="D2" s="6"/>
      <c r="E2" s="6"/>
    </row>
    <row r="3" spans="1:5" ht="17.5" customHeight="1">
      <c r="A3" s="8" t="s">
        <v>93</v>
      </c>
      <c r="B3" s="6"/>
      <c r="C3" s="6"/>
      <c r="D3" s="6"/>
      <c r="E3" s="6"/>
    </row>
    <row r="4" spans="1:5" ht="17.5" customHeight="1">
      <c r="A4" s="8" t="s">
        <v>94</v>
      </c>
      <c r="B4" s="6"/>
      <c r="C4" s="6"/>
      <c r="D4" s="6"/>
      <c r="E4" s="6"/>
    </row>
    <row r="5" spans="1:5" ht="17.5" customHeight="1">
      <c r="A5" s="8" t="s">
        <v>95</v>
      </c>
      <c r="B5" s="8" t="s">
        <v>96</v>
      </c>
      <c r="C5" s="8" t="s">
        <v>97</v>
      </c>
      <c r="D5" s="6"/>
      <c r="E5" s="6"/>
    </row>
    <row r="6" spans="1:5" ht="17.5" customHeight="1">
      <c r="A6" s="22">
        <v>1790</v>
      </c>
      <c r="B6" s="22">
        <v>4.2910000000000004</v>
      </c>
      <c r="C6" s="22">
        <v>110</v>
      </c>
      <c r="D6" s="6"/>
      <c r="E6" s="6"/>
    </row>
    <row r="7" spans="1:5" ht="17.5" customHeight="1">
      <c r="A7" s="22">
        <v>1791</v>
      </c>
      <c r="B7" s="22">
        <v>4.49</v>
      </c>
      <c r="C7" s="22">
        <v>113</v>
      </c>
      <c r="D7" s="6"/>
      <c r="E7" s="6"/>
    </row>
    <row r="8" spans="1:5" ht="17.5" customHeight="1">
      <c r="A8" s="22">
        <v>1792</v>
      </c>
      <c r="B8" s="22">
        <v>4.8810000000000002</v>
      </c>
      <c r="C8" s="22">
        <v>115</v>
      </c>
      <c r="D8" s="6"/>
      <c r="E8" s="6"/>
    </row>
    <row r="9" spans="1:5" ht="17.5" customHeight="1">
      <c r="A9" s="22">
        <v>1793</v>
      </c>
      <c r="B9" s="22">
        <v>5.4409999999999998</v>
      </c>
      <c r="C9" s="22">
        <v>119</v>
      </c>
      <c r="D9" s="6"/>
      <c r="E9" s="6"/>
    </row>
    <row r="10" spans="1:5" ht="17.5" customHeight="1">
      <c r="A10" s="22">
        <v>1794</v>
      </c>
      <c r="B10" s="22">
        <v>6.0140000000000002</v>
      </c>
      <c r="C10" s="22">
        <v>132</v>
      </c>
      <c r="D10" s="6"/>
      <c r="E10" s="6"/>
    </row>
    <row r="11" spans="1:5" ht="17.5" customHeight="1">
      <c r="A11" s="22">
        <v>1795</v>
      </c>
      <c r="B11" s="22">
        <v>6.5780000000000003</v>
      </c>
      <c r="C11" s="22">
        <v>151</v>
      </c>
      <c r="D11" s="6"/>
      <c r="E11" s="6"/>
    </row>
    <row r="12" spans="1:5" ht="17.5" customHeight="1">
      <c r="A12" s="22">
        <v>1796</v>
      </c>
      <c r="B12" s="22">
        <v>6.6989999999999998</v>
      </c>
      <c r="C12" s="22">
        <v>159</v>
      </c>
      <c r="D12" s="6"/>
      <c r="E12" s="6"/>
    </row>
    <row r="13" spans="1:5" ht="17.5" customHeight="1">
      <c r="A13" s="22">
        <v>1797</v>
      </c>
      <c r="B13" s="22">
        <v>6.3739999999999997</v>
      </c>
      <c r="C13" s="22">
        <v>153</v>
      </c>
      <c r="D13" s="6"/>
      <c r="E13" s="6"/>
    </row>
    <row r="14" spans="1:5" ht="17.5" customHeight="1">
      <c r="A14" s="22">
        <v>1798</v>
      </c>
      <c r="B14" s="22">
        <v>6.2130000000000001</v>
      </c>
      <c r="C14" s="22">
        <v>148</v>
      </c>
      <c r="D14" s="6"/>
      <c r="E14" s="6"/>
    </row>
    <row r="15" spans="1:5" ht="17.5" customHeight="1">
      <c r="A15" s="22">
        <v>1799</v>
      </c>
      <c r="B15" s="22">
        <v>6.6150000000000002</v>
      </c>
      <c r="C15" s="22">
        <v>148</v>
      </c>
      <c r="D15" s="6"/>
      <c r="E15" s="6"/>
    </row>
    <row r="16" spans="1:5" ht="17.5" customHeight="1">
      <c r="A16" s="22">
        <v>1800</v>
      </c>
      <c r="B16" s="22">
        <v>7.2729999999999997</v>
      </c>
      <c r="C16" s="22">
        <v>151</v>
      </c>
      <c r="D16" s="25"/>
      <c r="E16" s="6"/>
    </row>
    <row r="17" spans="1:5" ht="17.5" customHeight="1">
      <c r="A17" s="22">
        <v>1801</v>
      </c>
      <c r="B17" s="22">
        <v>7.7450000000000001</v>
      </c>
      <c r="C17" s="22">
        <v>153</v>
      </c>
      <c r="D17" s="6"/>
      <c r="E17" s="6"/>
    </row>
    <row r="18" spans="1:5" ht="17.5" customHeight="1">
      <c r="A18" s="22">
        <v>1802</v>
      </c>
      <c r="B18" s="22">
        <v>8.2100000000000009</v>
      </c>
      <c r="C18" s="22">
        <v>129</v>
      </c>
      <c r="D18" s="6"/>
      <c r="E18" s="6"/>
    </row>
    <row r="19" spans="1:5" ht="17.5" customHeight="1">
      <c r="A19" s="22">
        <v>1803</v>
      </c>
      <c r="B19" s="22">
        <v>7.9770000000000003</v>
      </c>
      <c r="C19" s="22">
        <v>136</v>
      </c>
      <c r="D19" s="6"/>
      <c r="E19" s="6"/>
    </row>
    <row r="20" spans="1:5" ht="17.5" customHeight="1">
      <c r="A20" s="22">
        <v>1804</v>
      </c>
      <c r="B20" s="22">
        <v>8.077</v>
      </c>
      <c r="C20" s="22">
        <v>142</v>
      </c>
      <c r="D20" s="6"/>
      <c r="E20" s="6"/>
    </row>
    <row r="21" spans="1:5" ht="17.5" customHeight="1">
      <c r="A21" s="22">
        <v>1805</v>
      </c>
      <c r="B21" s="22">
        <v>8.6980000000000004</v>
      </c>
      <c r="C21" s="22">
        <v>141</v>
      </c>
      <c r="D21" s="6"/>
      <c r="E21" s="6"/>
    </row>
    <row r="22" spans="1:5" ht="17.5" customHeight="1">
      <c r="A22" s="22">
        <v>1806</v>
      </c>
      <c r="B22" s="22">
        <v>9.2829999999999995</v>
      </c>
      <c r="C22" s="22">
        <v>147</v>
      </c>
      <c r="D22" s="6"/>
      <c r="E22" s="6"/>
    </row>
    <row r="23" spans="1:5" ht="17.5" customHeight="1">
      <c r="A23" s="22">
        <v>1807</v>
      </c>
      <c r="B23" s="22">
        <v>9.718</v>
      </c>
      <c r="C23" s="22">
        <v>139</v>
      </c>
      <c r="D23" s="6"/>
      <c r="E23" s="6"/>
    </row>
    <row r="24" spans="1:5" ht="17.5" customHeight="1">
      <c r="A24" s="22">
        <v>1808</v>
      </c>
      <c r="B24" s="22">
        <v>8.0630000000000006</v>
      </c>
      <c r="C24" s="22">
        <v>151</v>
      </c>
      <c r="D24" s="6"/>
      <c r="E24" s="6"/>
    </row>
    <row r="25" spans="1:5" ht="17.5" customHeight="1">
      <c r="A25" s="22">
        <v>1809</v>
      </c>
      <c r="B25" s="22">
        <v>9.3889999999999993</v>
      </c>
      <c r="C25" s="22">
        <v>148</v>
      </c>
      <c r="D25" s="6"/>
      <c r="E25" s="6"/>
    </row>
    <row r="26" spans="1:5" ht="17.5" customHeight="1">
      <c r="A26" s="22">
        <v>1810</v>
      </c>
      <c r="B26" s="22">
        <v>10.257999999999999</v>
      </c>
      <c r="C26" s="22">
        <v>148</v>
      </c>
      <c r="D26" s="25"/>
      <c r="E26" s="6"/>
    </row>
    <row r="27" spans="1:5" ht="17.5" customHeight="1">
      <c r="A27" s="22">
        <v>1811</v>
      </c>
      <c r="B27" s="22">
        <v>11.298999999999999</v>
      </c>
      <c r="C27" s="22">
        <v>158</v>
      </c>
      <c r="D27" s="6"/>
      <c r="E27" s="6"/>
    </row>
    <row r="28" spans="1:5" ht="17.5" customHeight="1">
      <c r="A28" s="22">
        <v>1812</v>
      </c>
      <c r="B28" s="22">
        <v>11.252000000000001</v>
      </c>
      <c r="C28" s="22">
        <v>160</v>
      </c>
      <c r="D28" s="6"/>
      <c r="E28" s="6"/>
    </row>
    <row r="29" spans="1:5" ht="17.5" customHeight="1">
      <c r="A29" s="22">
        <v>1813</v>
      </c>
      <c r="B29" s="22">
        <v>12.063000000000001</v>
      </c>
      <c r="C29" s="22">
        <v>192</v>
      </c>
      <c r="D29" s="6"/>
      <c r="E29" s="6"/>
    </row>
    <row r="30" spans="1:5" ht="17.5" customHeight="1">
      <c r="A30" s="22">
        <v>1814</v>
      </c>
      <c r="B30" s="22">
        <v>13.172000000000001</v>
      </c>
      <c r="C30" s="22">
        <v>211</v>
      </c>
      <c r="D30" s="6"/>
      <c r="E30" s="6"/>
    </row>
    <row r="31" spans="1:5" ht="17.5" customHeight="1">
      <c r="A31" s="22">
        <v>1815</v>
      </c>
      <c r="B31" s="22">
        <v>13.584</v>
      </c>
      <c r="C31" s="22">
        <v>185</v>
      </c>
      <c r="D31" s="6"/>
      <c r="E31" s="6"/>
    </row>
    <row r="32" spans="1:5" ht="17.5" customHeight="1">
      <c r="A32" s="22">
        <v>1816</v>
      </c>
      <c r="B32" s="22">
        <v>12.595000000000001</v>
      </c>
      <c r="C32" s="22">
        <v>169</v>
      </c>
      <c r="D32" s="6"/>
      <c r="E32" s="6"/>
    </row>
    <row r="33" spans="1:5" ht="17.5" customHeight="1">
      <c r="A33" s="22">
        <v>1817</v>
      </c>
      <c r="B33" s="22">
        <v>13.119</v>
      </c>
      <c r="C33" s="22">
        <v>160</v>
      </c>
      <c r="D33" s="6"/>
      <c r="E33" s="6"/>
    </row>
    <row r="34" spans="1:5" ht="17.5" customHeight="1">
      <c r="A34" s="22">
        <v>1818</v>
      </c>
      <c r="B34" s="22">
        <v>13.837999999999999</v>
      </c>
      <c r="C34" s="22">
        <v>153</v>
      </c>
      <c r="D34" s="6"/>
      <c r="E34" s="6"/>
    </row>
    <row r="35" spans="1:5" ht="17.5" customHeight="1">
      <c r="A35" s="22">
        <v>1819</v>
      </c>
      <c r="B35" s="22">
        <v>14.412000000000001</v>
      </c>
      <c r="C35" s="22">
        <v>153</v>
      </c>
      <c r="D35" s="6"/>
      <c r="E35" s="6"/>
    </row>
    <row r="36" spans="1:5" ht="17.5" customHeight="1">
      <c r="A36" s="22">
        <v>1820</v>
      </c>
      <c r="B36" s="22">
        <v>14.834</v>
      </c>
      <c r="C36" s="22">
        <v>141</v>
      </c>
      <c r="D36" s="25"/>
      <c r="E36" s="6"/>
    </row>
    <row r="37" spans="1:5" ht="17.5" customHeight="1">
      <c r="A37" s="22">
        <v>1821</v>
      </c>
      <c r="B37" s="22">
        <v>15.792</v>
      </c>
      <c r="C37" s="22">
        <v>136</v>
      </c>
      <c r="D37" s="6"/>
      <c r="E37" s="6"/>
    </row>
    <row r="38" spans="1:5" ht="17.5" customHeight="1">
      <c r="A38" s="22">
        <v>1822</v>
      </c>
      <c r="B38" s="22">
        <v>17.291</v>
      </c>
      <c r="C38" s="22">
        <v>141</v>
      </c>
      <c r="D38" s="6"/>
      <c r="E38" s="6"/>
    </row>
    <row r="39" spans="1:5" ht="17.5" customHeight="1">
      <c r="A39" s="22">
        <v>1823</v>
      </c>
      <c r="B39" s="22">
        <v>17.081</v>
      </c>
      <c r="C39" s="22">
        <v>126</v>
      </c>
      <c r="D39" s="6"/>
      <c r="E39" s="6"/>
    </row>
    <row r="40" spans="1:5" ht="17.5" customHeight="1">
      <c r="A40" s="22">
        <v>1824</v>
      </c>
      <c r="B40" s="22">
        <v>18.559000000000001</v>
      </c>
      <c r="C40" s="22">
        <v>116</v>
      </c>
      <c r="D40" s="6"/>
      <c r="E40" s="6"/>
    </row>
    <row r="41" spans="1:5" ht="17.5" customHeight="1">
      <c r="A41" s="22">
        <v>1825</v>
      </c>
      <c r="B41" s="22">
        <v>19.885999999999999</v>
      </c>
      <c r="C41" s="22">
        <v>119</v>
      </c>
      <c r="D41" s="6"/>
      <c r="E41" s="6"/>
    </row>
    <row r="42" spans="1:5" ht="17.5" customHeight="1">
      <c r="A42" s="22">
        <v>1826</v>
      </c>
      <c r="B42" s="22">
        <v>20.535</v>
      </c>
      <c r="C42" s="22">
        <v>119</v>
      </c>
      <c r="D42" s="6"/>
      <c r="E42" s="6"/>
    </row>
    <row r="43" spans="1:5" ht="17.5" customHeight="1">
      <c r="A43" s="22">
        <v>1827</v>
      </c>
      <c r="B43" s="22">
        <v>21.073</v>
      </c>
      <c r="C43" s="22">
        <v>120</v>
      </c>
      <c r="D43" s="6"/>
      <c r="E43" s="6"/>
    </row>
    <row r="44" spans="1:5" ht="17.5" customHeight="1">
      <c r="A44" s="22">
        <v>1828</v>
      </c>
      <c r="B44" s="22">
        <v>21.390999999999998</v>
      </c>
      <c r="C44" s="22">
        <v>114</v>
      </c>
      <c r="D44" s="6"/>
      <c r="E44" s="6"/>
    </row>
    <row r="45" spans="1:5" ht="17.5" customHeight="1">
      <c r="A45" s="22">
        <v>1829</v>
      </c>
      <c r="B45" s="22">
        <v>20.117000000000001</v>
      </c>
      <c r="C45" s="22">
        <v>112</v>
      </c>
      <c r="D45" s="6"/>
      <c r="E45" s="6"/>
    </row>
    <row r="46" spans="1:5" ht="17.5" customHeight="1">
      <c r="A46" s="22">
        <v>1830</v>
      </c>
      <c r="B46" s="22">
        <v>23.800999999999998</v>
      </c>
      <c r="C46" s="22">
        <v>111</v>
      </c>
      <c r="D46" s="25"/>
      <c r="E46" s="6"/>
    </row>
    <row r="47" spans="1:5" ht="17.5" customHeight="1">
      <c r="A47" s="22">
        <v>1831</v>
      </c>
      <c r="B47" s="22">
        <v>28.085000000000001</v>
      </c>
      <c r="C47" s="22">
        <v>104</v>
      </c>
      <c r="D47" s="6"/>
      <c r="E47" s="6"/>
    </row>
    <row r="48" spans="1:5" ht="17.5" customHeight="1">
      <c r="A48" s="22">
        <v>1832</v>
      </c>
      <c r="B48" s="22">
        <v>31.53</v>
      </c>
      <c r="C48" s="22">
        <v>103</v>
      </c>
      <c r="D48" s="6"/>
      <c r="E48" s="6"/>
    </row>
    <row r="49" spans="1:5" ht="17.5" customHeight="1">
      <c r="A49" s="22">
        <v>1833</v>
      </c>
      <c r="B49" s="22">
        <v>35.15</v>
      </c>
      <c r="C49" s="22">
        <v>101</v>
      </c>
      <c r="D49" s="6"/>
      <c r="E49" s="6"/>
    </row>
    <row r="50" spans="1:5" ht="17.5" customHeight="1">
      <c r="A50" s="22">
        <v>1834</v>
      </c>
      <c r="B50" s="22">
        <v>33.58</v>
      </c>
      <c r="C50" s="22">
        <v>103</v>
      </c>
      <c r="D50" s="6"/>
      <c r="E50" s="6"/>
    </row>
    <row r="51" spans="1:5" ht="17.5" customHeight="1">
      <c r="A51" s="22">
        <v>1835</v>
      </c>
      <c r="B51" s="22">
        <v>37.57</v>
      </c>
      <c r="C51" s="22">
        <v>106</v>
      </c>
      <c r="D51" s="6"/>
      <c r="E51" s="6"/>
    </row>
    <row r="52" spans="1:5" ht="17.5" customHeight="1">
      <c r="A52" s="22">
        <v>1836</v>
      </c>
      <c r="B52" s="22">
        <v>40.25</v>
      </c>
      <c r="C52" s="22">
        <v>112</v>
      </c>
      <c r="D52" s="6"/>
      <c r="E52" s="6"/>
    </row>
    <row r="53" spans="1:5" ht="17.5" customHeight="1">
      <c r="A53" s="22">
        <v>1837</v>
      </c>
      <c r="B53" s="22">
        <v>39.68</v>
      </c>
      <c r="C53" s="22">
        <v>115</v>
      </c>
      <c r="D53" s="6"/>
      <c r="E53" s="6"/>
    </row>
    <row r="54" spans="1:5" ht="17.5" customHeight="1">
      <c r="A54" s="22">
        <v>1838</v>
      </c>
      <c r="B54" s="22">
        <v>40.700000000000003</v>
      </c>
      <c r="C54" s="22">
        <v>112</v>
      </c>
      <c r="D54" s="6"/>
      <c r="E54" s="6"/>
    </row>
    <row r="55" spans="1:5" ht="17.5" customHeight="1">
      <c r="A55" s="22">
        <v>1839</v>
      </c>
      <c r="B55" s="22">
        <v>46.06</v>
      </c>
      <c r="C55" s="22">
        <v>112</v>
      </c>
      <c r="D55" s="6"/>
      <c r="E55" s="6"/>
    </row>
    <row r="56" spans="1:5" ht="17.5" customHeight="1">
      <c r="A56" s="22">
        <v>1840</v>
      </c>
      <c r="B56" s="22">
        <v>43.88</v>
      </c>
      <c r="C56" s="22">
        <v>104</v>
      </c>
      <c r="D56" s="25"/>
      <c r="E56" s="6"/>
    </row>
    <row r="57" spans="1:5" ht="17.5" customHeight="1">
      <c r="A57" s="22">
        <v>1841</v>
      </c>
      <c r="B57" s="22">
        <v>46.35</v>
      </c>
      <c r="C57" s="22">
        <v>105</v>
      </c>
      <c r="D57" s="6"/>
      <c r="E57" s="6"/>
    </row>
    <row r="58" spans="1:5" ht="17.5" customHeight="1">
      <c r="A58" s="22">
        <v>1842</v>
      </c>
      <c r="B58" s="22">
        <v>47.66</v>
      </c>
      <c r="C58" s="22">
        <v>98</v>
      </c>
      <c r="D58" s="6"/>
      <c r="E58" s="6"/>
    </row>
    <row r="59" spans="1:5" ht="17.5" customHeight="1">
      <c r="A59" s="22">
        <v>1843</v>
      </c>
      <c r="B59" s="22">
        <v>53.1</v>
      </c>
      <c r="C59" s="22">
        <v>89</v>
      </c>
      <c r="D59" s="6"/>
      <c r="E59" s="6"/>
    </row>
    <row r="60" spans="1:5" ht="17.5" customHeight="1">
      <c r="A60" s="22">
        <v>1844</v>
      </c>
      <c r="B60" s="22">
        <v>59.45</v>
      </c>
      <c r="C60" s="22">
        <v>90</v>
      </c>
      <c r="D60" s="6"/>
      <c r="E60" s="6"/>
    </row>
    <row r="61" spans="1:5" ht="17.5" customHeight="1">
      <c r="A61" s="22">
        <v>1845</v>
      </c>
      <c r="B61" s="22">
        <v>65.36</v>
      </c>
      <c r="C61" s="22">
        <v>91</v>
      </c>
      <c r="D61" s="6"/>
      <c r="E61" s="6"/>
    </row>
    <row r="62" spans="1:5" ht="17.5" customHeight="1">
      <c r="A62" s="22">
        <v>1846</v>
      </c>
      <c r="B62" s="22">
        <v>75.930000000000007</v>
      </c>
      <c r="C62" s="22">
        <v>92</v>
      </c>
      <c r="D62" s="6"/>
      <c r="E62" s="6"/>
    </row>
    <row r="63" spans="1:5" ht="17.5" customHeight="1">
      <c r="A63" s="22">
        <v>1847</v>
      </c>
      <c r="B63" s="22">
        <v>87.37</v>
      </c>
      <c r="C63" s="22">
        <v>99</v>
      </c>
      <c r="D63" s="6"/>
      <c r="E63" s="6"/>
    </row>
    <row r="64" spans="1:5" ht="17.5" customHeight="1">
      <c r="A64" s="22">
        <v>1848</v>
      </c>
      <c r="B64" s="22">
        <v>94.89</v>
      </c>
      <c r="C64" s="22">
        <v>95</v>
      </c>
      <c r="D64" s="6"/>
      <c r="E64" s="6"/>
    </row>
    <row r="65" spans="1:5" ht="17.5" customHeight="1">
      <c r="A65" s="22">
        <v>1849</v>
      </c>
      <c r="B65" s="22">
        <v>98.33</v>
      </c>
      <c r="C65" s="22">
        <v>92</v>
      </c>
      <c r="D65" s="6"/>
      <c r="E65" s="6"/>
    </row>
    <row r="66" spans="1:5" ht="17.5" customHeight="1">
      <c r="A66" s="22">
        <v>1850</v>
      </c>
      <c r="B66" s="22">
        <v>102.39</v>
      </c>
      <c r="C66" s="22">
        <v>94</v>
      </c>
      <c r="D66" s="25"/>
      <c r="E66" s="6"/>
    </row>
    <row r="67" spans="1:5" ht="17.5" customHeight="1">
      <c r="A67" s="22">
        <v>1851</v>
      </c>
      <c r="B67" s="22">
        <v>106.05</v>
      </c>
      <c r="C67" s="22">
        <v>92</v>
      </c>
      <c r="D67" s="6"/>
      <c r="E67" s="6"/>
    </row>
    <row r="68" spans="1:5" ht="17.5" customHeight="1">
      <c r="A68" s="22">
        <v>1852</v>
      </c>
      <c r="B68" s="22">
        <v>122.84</v>
      </c>
      <c r="C68" s="22">
        <v>93</v>
      </c>
      <c r="D68" s="6"/>
      <c r="E68" s="6"/>
    </row>
    <row r="69" spans="1:5" ht="17.5" customHeight="1">
      <c r="A69" s="22">
        <v>1853</v>
      </c>
      <c r="B69" s="22">
        <v>139.97999999999999</v>
      </c>
      <c r="C69" s="22">
        <v>93</v>
      </c>
      <c r="D69" s="6"/>
      <c r="E69" s="6"/>
    </row>
    <row r="70" spans="1:5" ht="17.5" customHeight="1">
      <c r="A70" s="22">
        <v>1854</v>
      </c>
      <c r="B70" s="22">
        <v>142.72</v>
      </c>
      <c r="C70" s="22">
        <v>101</v>
      </c>
      <c r="D70" s="6"/>
      <c r="E70" s="6"/>
    </row>
    <row r="71" spans="1:5" ht="17.5" customHeight="1">
      <c r="A71" s="22">
        <v>1855</v>
      </c>
      <c r="B71" s="22">
        <v>143.44</v>
      </c>
      <c r="C71" s="22">
        <v>104</v>
      </c>
      <c r="D71" s="6"/>
      <c r="E71" s="6"/>
    </row>
    <row r="72" spans="1:5" ht="17.5" customHeight="1">
      <c r="A72" s="22">
        <v>1856</v>
      </c>
      <c r="B72" s="22">
        <v>149.44</v>
      </c>
      <c r="C72" s="22">
        <v>102</v>
      </c>
      <c r="D72" s="6"/>
      <c r="E72" s="6"/>
    </row>
    <row r="73" spans="1:5" ht="17.5" customHeight="1">
      <c r="A73" s="22">
        <v>1857</v>
      </c>
      <c r="B73" s="22">
        <v>146.16999999999999</v>
      </c>
      <c r="C73" s="22">
        <v>105</v>
      </c>
      <c r="D73" s="6"/>
      <c r="E73" s="6"/>
    </row>
    <row r="74" spans="1:5" ht="17.5" customHeight="1">
      <c r="A74" s="22">
        <v>1858</v>
      </c>
      <c r="B74" s="22">
        <v>137.54</v>
      </c>
      <c r="C74" s="22">
        <v>99</v>
      </c>
      <c r="D74" s="6"/>
      <c r="E74" s="6"/>
    </row>
    <row r="75" spans="1:5" ht="17.5" customHeight="1">
      <c r="A75" s="22">
        <v>1859</v>
      </c>
      <c r="B75" s="22">
        <v>156.38999999999999</v>
      </c>
      <c r="C75" s="22">
        <v>100</v>
      </c>
      <c r="D75" s="6"/>
      <c r="E75" s="6"/>
    </row>
    <row r="76" spans="1:5" ht="17.5" customHeight="1">
      <c r="A76" s="22">
        <v>1860</v>
      </c>
      <c r="B76" s="22">
        <v>157.86000000000001</v>
      </c>
      <c r="C76" s="22">
        <v>100</v>
      </c>
      <c r="D76" s="25"/>
      <c r="E76" s="6"/>
    </row>
    <row r="77" spans="1:5" ht="17.5" customHeight="1">
      <c r="A77" s="22">
        <v>1861</v>
      </c>
      <c r="B77" s="22">
        <v>156.47</v>
      </c>
      <c r="C77" s="22">
        <v>106</v>
      </c>
      <c r="D77" s="6"/>
      <c r="E77" s="6"/>
    </row>
    <row r="78" spans="1:5" ht="17.5" customHeight="1">
      <c r="A78" s="22">
        <v>1862</v>
      </c>
      <c r="B78" s="22">
        <v>167.35</v>
      </c>
      <c r="C78" s="22">
        <v>121</v>
      </c>
      <c r="D78" s="6"/>
      <c r="E78" s="6"/>
    </row>
    <row r="79" spans="1:5" ht="17.5" customHeight="1">
      <c r="A79" s="22">
        <v>1863</v>
      </c>
      <c r="B79" s="22">
        <v>187.31</v>
      </c>
      <c r="C79" s="22">
        <v>151</v>
      </c>
      <c r="D79" s="6"/>
      <c r="E79" s="6"/>
    </row>
    <row r="80" spans="1:5" ht="17.5" customHeight="1">
      <c r="A80" s="22">
        <v>1864</v>
      </c>
      <c r="B80" s="22">
        <v>200.61</v>
      </c>
      <c r="C80" s="22">
        <v>189</v>
      </c>
      <c r="D80" s="6"/>
      <c r="E80" s="6"/>
    </row>
    <row r="81" spans="1:5" ht="17.5" customHeight="1">
      <c r="A81" s="22">
        <v>1865</v>
      </c>
      <c r="B81" s="22">
        <v>190.11</v>
      </c>
      <c r="C81" s="22">
        <v>196</v>
      </c>
      <c r="D81" s="6"/>
      <c r="E81" s="6"/>
    </row>
    <row r="82" spans="1:5" ht="17.5" customHeight="1">
      <c r="A82" s="22">
        <v>1866</v>
      </c>
      <c r="B82" s="22">
        <v>193.91</v>
      </c>
      <c r="C82" s="22">
        <v>191</v>
      </c>
      <c r="D82" s="6"/>
      <c r="E82" s="6"/>
    </row>
    <row r="83" spans="1:5" ht="17.5" customHeight="1">
      <c r="A83" s="22">
        <v>1867</v>
      </c>
      <c r="B83" s="22">
        <v>210.05</v>
      </c>
      <c r="C83" s="22">
        <v>178</v>
      </c>
      <c r="D83" s="6"/>
      <c r="E83" s="6"/>
    </row>
    <row r="84" spans="1:5" ht="17.5" customHeight="1">
      <c r="A84" s="22">
        <v>1868</v>
      </c>
      <c r="B84" s="22">
        <v>220.9</v>
      </c>
      <c r="C84" s="22">
        <v>171</v>
      </c>
      <c r="D84" s="6"/>
      <c r="E84" s="6"/>
    </row>
    <row r="85" spans="1:5" ht="17.5" customHeight="1">
      <c r="A85" s="22">
        <v>1869</v>
      </c>
      <c r="B85" s="22">
        <v>237.47</v>
      </c>
      <c r="C85" s="22">
        <v>164</v>
      </c>
      <c r="D85" s="6"/>
      <c r="E85" s="6"/>
    </row>
    <row r="86" spans="1:5" ht="17.5" customHeight="1">
      <c r="A86" s="22">
        <v>1870</v>
      </c>
      <c r="B86" s="22">
        <v>242.97</v>
      </c>
      <c r="C86" s="22">
        <v>157</v>
      </c>
      <c r="D86" s="25"/>
      <c r="E86" s="6"/>
    </row>
    <row r="87" spans="1:5" ht="17.5" customHeight="1">
      <c r="A87" s="22">
        <v>1871</v>
      </c>
      <c r="B87" s="22">
        <v>147</v>
      </c>
      <c r="C87" s="22">
        <v>147</v>
      </c>
      <c r="D87" s="6"/>
      <c r="E87" s="6"/>
    </row>
    <row r="88" spans="1:5" ht="17.5" customHeight="1">
      <c r="A88" s="22">
        <v>1872</v>
      </c>
      <c r="B88" s="22">
        <v>147</v>
      </c>
      <c r="C88" s="22">
        <v>147</v>
      </c>
      <c r="D88" s="6"/>
      <c r="E88" s="6"/>
    </row>
    <row r="89" spans="1:5" ht="17.5" customHeight="1">
      <c r="A89" s="22">
        <v>1873</v>
      </c>
      <c r="B89" s="22">
        <v>144</v>
      </c>
      <c r="C89" s="22">
        <v>144</v>
      </c>
      <c r="D89" s="6"/>
      <c r="E89" s="6"/>
    </row>
    <row r="90" spans="1:5" ht="17.5" customHeight="1">
      <c r="A90" s="22">
        <v>1874</v>
      </c>
      <c r="B90" s="22">
        <v>137</v>
      </c>
      <c r="C90" s="22">
        <v>137</v>
      </c>
      <c r="D90" s="6"/>
      <c r="E90" s="6"/>
    </row>
    <row r="91" spans="1:5" ht="17.5" customHeight="1">
      <c r="A91" s="22">
        <v>1875</v>
      </c>
      <c r="B91" s="22">
        <v>132</v>
      </c>
      <c r="C91" s="22">
        <v>132</v>
      </c>
      <c r="D91" s="6"/>
      <c r="E91" s="6"/>
    </row>
    <row r="92" spans="1:5" ht="17.5" customHeight="1">
      <c r="A92" s="22">
        <v>1876</v>
      </c>
      <c r="B92" s="22">
        <v>129</v>
      </c>
      <c r="C92" s="22">
        <v>129</v>
      </c>
      <c r="D92" s="6"/>
      <c r="E92" s="6"/>
    </row>
    <row r="93" spans="1:5" ht="17.5" customHeight="1">
      <c r="A93" s="22">
        <v>1877</v>
      </c>
      <c r="B93" s="22">
        <v>126</v>
      </c>
      <c r="C93" s="22">
        <v>126</v>
      </c>
      <c r="D93" s="6"/>
      <c r="E93" s="6"/>
    </row>
    <row r="94" spans="1:5" ht="17.5" customHeight="1">
      <c r="A94" s="22">
        <v>1878</v>
      </c>
      <c r="B94" s="22">
        <v>120</v>
      </c>
      <c r="C94" s="22">
        <v>120</v>
      </c>
      <c r="D94" s="6"/>
      <c r="E94" s="6"/>
    </row>
    <row r="95" spans="1:5" ht="17.5" customHeight="1">
      <c r="A95" s="22">
        <v>1879</v>
      </c>
      <c r="B95" s="22">
        <v>120</v>
      </c>
      <c r="C95" s="22">
        <v>120</v>
      </c>
      <c r="D95" s="6"/>
      <c r="E95" s="6"/>
    </row>
    <row r="96" spans="1:5" ht="17.5" customHeight="1">
      <c r="A96" s="22">
        <v>1880</v>
      </c>
      <c r="B96" s="22">
        <v>123</v>
      </c>
      <c r="C96" s="22">
        <v>123</v>
      </c>
      <c r="D96" s="6"/>
      <c r="E96" s="6"/>
    </row>
    <row r="97" spans="1:5" ht="17.5" customHeight="1">
      <c r="A97" s="22">
        <v>1881</v>
      </c>
      <c r="B97" s="22">
        <v>123</v>
      </c>
      <c r="C97" s="22">
        <v>123</v>
      </c>
      <c r="D97" s="6"/>
      <c r="E97" s="6"/>
    </row>
    <row r="98" spans="1:5" ht="17.5" customHeight="1">
      <c r="A98" s="22">
        <v>1882</v>
      </c>
      <c r="B98" s="22">
        <v>123</v>
      </c>
      <c r="C98" s="22">
        <v>123</v>
      </c>
      <c r="D98" s="6"/>
      <c r="E98" s="6"/>
    </row>
    <row r="99" spans="1:5" ht="17.5" customHeight="1">
      <c r="A99" s="22">
        <v>1883</v>
      </c>
      <c r="B99" s="22">
        <v>121</v>
      </c>
      <c r="C99" s="22">
        <v>121</v>
      </c>
      <c r="D99" s="6"/>
      <c r="E99" s="6"/>
    </row>
    <row r="100" spans="1:5" ht="17.5" customHeight="1">
      <c r="A100" s="22">
        <v>1884</v>
      </c>
      <c r="B100" s="22">
        <v>118</v>
      </c>
      <c r="C100" s="22">
        <v>118</v>
      </c>
      <c r="D100" s="6"/>
      <c r="E100" s="6"/>
    </row>
    <row r="101" spans="1:5" ht="17.5" customHeight="1">
      <c r="A101" s="22">
        <v>1885</v>
      </c>
      <c r="B101" s="22">
        <v>116</v>
      </c>
      <c r="C101" s="22">
        <v>116</v>
      </c>
      <c r="D101" s="6"/>
      <c r="E101" s="6"/>
    </row>
    <row r="102" spans="1:5" ht="17.5" customHeight="1">
      <c r="A102" s="22">
        <v>1886</v>
      </c>
      <c r="B102" s="22">
        <v>113</v>
      </c>
      <c r="C102" s="22">
        <v>113</v>
      </c>
      <c r="D102" s="6"/>
      <c r="E102" s="6"/>
    </row>
    <row r="103" spans="1:5" ht="17.5" customHeight="1">
      <c r="A103" s="22">
        <v>1887</v>
      </c>
      <c r="B103" s="22">
        <v>114</v>
      </c>
      <c r="C103" s="22">
        <v>114</v>
      </c>
      <c r="D103" s="6"/>
      <c r="E103" s="6"/>
    </row>
    <row r="104" spans="1:5" ht="17.5" customHeight="1">
      <c r="A104" s="22">
        <v>1888</v>
      </c>
      <c r="B104" s="22">
        <v>114</v>
      </c>
      <c r="C104" s="22">
        <v>114</v>
      </c>
      <c r="D104" s="6"/>
      <c r="E104" s="6"/>
    </row>
    <row r="105" spans="1:5" ht="17.5" customHeight="1">
      <c r="A105" s="22">
        <v>1889</v>
      </c>
      <c r="B105" s="22">
        <v>111</v>
      </c>
      <c r="C105" s="22">
        <v>111</v>
      </c>
      <c r="D105" s="6"/>
      <c r="E105" s="6"/>
    </row>
    <row r="106" spans="1:5" ht="17.5" customHeight="1">
      <c r="A106" s="22">
        <v>1890</v>
      </c>
      <c r="B106" s="22">
        <v>109</v>
      </c>
      <c r="C106" s="22">
        <v>109</v>
      </c>
      <c r="D106" s="6"/>
      <c r="E106" s="6"/>
    </row>
    <row r="107" spans="1:5" ht="17.5" customHeight="1">
      <c r="A107" s="22">
        <v>1891</v>
      </c>
      <c r="B107" s="22">
        <v>109</v>
      </c>
      <c r="C107" s="22">
        <v>109</v>
      </c>
      <c r="D107" s="6"/>
      <c r="E107" s="6"/>
    </row>
    <row r="108" spans="1:5" ht="17.5" customHeight="1">
      <c r="A108" s="22">
        <v>1892</v>
      </c>
      <c r="B108" s="22">
        <v>109</v>
      </c>
      <c r="C108" s="22">
        <v>109</v>
      </c>
      <c r="D108" s="6"/>
      <c r="E108" s="6"/>
    </row>
    <row r="109" spans="1:5" ht="17.5" customHeight="1">
      <c r="A109" s="22">
        <v>1893</v>
      </c>
      <c r="B109" s="22">
        <v>108</v>
      </c>
      <c r="C109" s="22">
        <v>108</v>
      </c>
      <c r="D109" s="6"/>
      <c r="E109" s="6"/>
    </row>
    <row r="110" spans="1:5" ht="17.5" customHeight="1">
      <c r="A110" s="22">
        <v>1894</v>
      </c>
      <c r="B110" s="22">
        <v>103</v>
      </c>
      <c r="C110" s="22">
        <v>103</v>
      </c>
      <c r="D110" s="6"/>
      <c r="E110" s="6"/>
    </row>
    <row r="111" spans="1:5" ht="17.5" customHeight="1">
      <c r="A111" s="22">
        <v>1895</v>
      </c>
      <c r="B111" s="22">
        <v>101</v>
      </c>
      <c r="C111" s="22">
        <v>101</v>
      </c>
      <c r="D111" s="6"/>
      <c r="E111" s="6"/>
    </row>
    <row r="112" spans="1:5" ht="17.5" customHeight="1">
      <c r="A112" s="22">
        <v>1896</v>
      </c>
      <c r="B112" s="22">
        <v>101</v>
      </c>
      <c r="C112" s="22">
        <v>101</v>
      </c>
      <c r="D112" s="6"/>
      <c r="E112" s="6"/>
    </row>
    <row r="113" spans="1:5" ht="17.5" customHeight="1">
      <c r="A113" s="22">
        <v>1897</v>
      </c>
      <c r="B113" s="22">
        <v>100</v>
      </c>
      <c r="C113" s="22">
        <v>100</v>
      </c>
      <c r="D113" s="6"/>
      <c r="E113" s="6"/>
    </row>
    <row r="114" spans="1:5" ht="17.5" customHeight="1">
      <c r="A114" s="22">
        <v>1898</v>
      </c>
      <c r="B114" s="22">
        <v>100</v>
      </c>
      <c r="C114" s="22">
        <v>100</v>
      </c>
      <c r="D114" s="6"/>
      <c r="E114" s="6"/>
    </row>
    <row r="115" spans="1:5" ht="17.5" customHeight="1">
      <c r="A115" s="22">
        <v>1899</v>
      </c>
      <c r="B115" s="22">
        <v>100</v>
      </c>
      <c r="C115" s="22">
        <v>100</v>
      </c>
      <c r="D115" s="6"/>
      <c r="E115" s="6"/>
    </row>
    <row r="116" spans="1:5" ht="17.5" customHeight="1">
      <c r="A116" s="22">
        <v>1900</v>
      </c>
      <c r="B116" s="22">
        <v>101</v>
      </c>
      <c r="C116" s="22">
        <v>101</v>
      </c>
      <c r="D116" s="6"/>
      <c r="E116" s="6"/>
    </row>
    <row r="117" spans="1:5" ht="17.5" customHeight="1">
      <c r="A117" s="22">
        <v>1901</v>
      </c>
      <c r="B117" s="22">
        <v>102</v>
      </c>
      <c r="C117" s="22">
        <v>102</v>
      </c>
      <c r="D117" s="6"/>
      <c r="E117" s="6"/>
    </row>
    <row r="118" spans="1:5" ht="17.5" customHeight="1">
      <c r="A118" s="22">
        <v>1902</v>
      </c>
      <c r="B118" s="22">
        <v>103</v>
      </c>
      <c r="C118" s="22">
        <v>103</v>
      </c>
      <c r="D118" s="6"/>
      <c r="E118" s="6"/>
    </row>
    <row r="119" spans="1:5" ht="17.5" customHeight="1">
      <c r="A119" s="22">
        <v>1903</v>
      </c>
      <c r="B119" s="22">
        <v>106</v>
      </c>
      <c r="C119" s="22">
        <v>106</v>
      </c>
      <c r="D119" s="6"/>
      <c r="E119" s="6"/>
    </row>
    <row r="120" spans="1:5" ht="17.5" customHeight="1">
      <c r="A120" s="22">
        <v>1904</v>
      </c>
      <c r="B120" s="22">
        <v>107</v>
      </c>
      <c r="C120" s="22">
        <v>107</v>
      </c>
      <c r="D120" s="6"/>
      <c r="E120" s="6"/>
    </row>
    <row r="121" spans="1:5" ht="17.5" customHeight="1">
      <c r="A121" s="22">
        <v>1905</v>
      </c>
      <c r="B121" s="22">
        <v>106</v>
      </c>
      <c r="C121" s="22">
        <v>106</v>
      </c>
      <c r="D121" s="6"/>
      <c r="E121" s="6"/>
    </row>
    <row r="122" spans="1:5" ht="17.5" customHeight="1">
      <c r="A122" s="22">
        <v>1906</v>
      </c>
      <c r="B122" s="22">
        <v>108</v>
      </c>
      <c r="C122" s="22">
        <v>108</v>
      </c>
      <c r="D122" s="6"/>
      <c r="E122" s="6"/>
    </row>
    <row r="123" spans="1:5" ht="17.5" customHeight="1">
      <c r="A123" s="22">
        <v>1907</v>
      </c>
      <c r="B123" s="22">
        <v>113</v>
      </c>
      <c r="C123" s="22">
        <v>113</v>
      </c>
      <c r="D123" s="6"/>
      <c r="E123" s="6"/>
    </row>
    <row r="124" spans="1:5" ht="17.5" customHeight="1">
      <c r="A124" s="22">
        <v>1908</v>
      </c>
      <c r="B124" s="22">
        <v>111</v>
      </c>
      <c r="C124" s="22">
        <v>111</v>
      </c>
      <c r="D124" s="6"/>
      <c r="E124" s="6"/>
    </row>
    <row r="125" spans="1:5" ht="17.5" customHeight="1">
      <c r="A125" s="22">
        <v>1909</v>
      </c>
      <c r="B125" s="22">
        <v>109</v>
      </c>
      <c r="C125" s="22">
        <v>109</v>
      </c>
      <c r="D125" s="6"/>
      <c r="E125" s="6"/>
    </row>
    <row r="126" spans="1:5" ht="17.5" customHeight="1">
      <c r="A126" s="22">
        <v>1910</v>
      </c>
      <c r="B126" s="22">
        <v>114</v>
      </c>
      <c r="C126" s="22">
        <v>114</v>
      </c>
      <c r="D126" s="6"/>
      <c r="E126" s="6"/>
    </row>
    <row r="127" spans="1:5" ht="17.5" customHeight="1">
      <c r="A127" s="22">
        <v>1911</v>
      </c>
      <c r="B127" s="22">
        <v>114</v>
      </c>
      <c r="C127" s="22">
        <v>114</v>
      </c>
      <c r="D127" s="6"/>
      <c r="E127" s="6"/>
    </row>
    <row r="128" spans="1:5" ht="17.5" customHeight="1">
      <c r="A128" s="22">
        <v>1912</v>
      </c>
      <c r="B128" s="22">
        <v>117</v>
      </c>
      <c r="C128" s="22">
        <v>117</v>
      </c>
      <c r="D128" s="6"/>
      <c r="E128" s="6"/>
    </row>
    <row r="129" spans="1:5" ht="17.5" customHeight="1">
      <c r="A129" s="22">
        <v>1913</v>
      </c>
      <c r="B129" s="22">
        <v>119</v>
      </c>
      <c r="C129" s="22">
        <v>119</v>
      </c>
      <c r="D129" s="6"/>
      <c r="E129" s="6"/>
    </row>
    <row r="130" spans="1:5" ht="17.5" customHeight="1">
      <c r="A130" s="22">
        <v>1914</v>
      </c>
      <c r="B130" s="22">
        <v>120</v>
      </c>
      <c r="C130" s="22">
        <v>120</v>
      </c>
      <c r="D130" s="6"/>
      <c r="E130" s="6"/>
    </row>
    <row r="131" spans="1:5" ht="17.5" customHeight="1">
      <c r="A131" s="22">
        <v>1915</v>
      </c>
      <c r="B131" s="22">
        <v>121</v>
      </c>
      <c r="C131" s="22">
        <v>121</v>
      </c>
      <c r="D131" s="6"/>
      <c r="E131" s="6"/>
    </row>
    <row r="132" spans="1:5" ht="17.5" customHeight="1">
      <c r="A132" s="22">
        <v>1916</v>
      </c>
      <c r="B132" s="22">
        <v>130</v>
      </c>
      <c r="C132" s="22">
        <v>130</v>
      </c>
      <c r="D132" s="6"/>
      <c r="E132" s="6"/>
    </row>
    <row r="133" spans="1:5" ht="17.5" customHeight="1">
      <c r="A133" s="22">
        <v>1917</v>
      </c>
      <c r="B133" s="22">
        <v>153</v>
      </c>
      <c r="C133" s="22">
        <v>153</v>
      </c>
      <c r="D133" s="6"/>
      <c r="E133" s="6"/>
    </row>
    <row r="134" spans="1:5" ht="17.5" customHeight="1">
      <c r="A134" s="22">
        <v>1918</v>
      </c>
      <c r="B134" s="22">
        <v>180</v>
      </c>
      <c r="C134" s="22">
        <v>180</v>
      </c>
      <c r="D134" s="6"/>
      <c r="E134" s="6"/>
    </row>
    <row r="135" spans="1:5" ht="17.5" customHeight="1">
      <c r="A135" s="22">
        <v>1919</v>
      </c>
      <c r="B135" s="22">
        <v>207</v>
      </c>
      <c r="C135" s="22">
        <v>207</v>
      </c>
      <c r="D135" s="6"/>
      <c r="E135" s="6"/>
    </row>
    <row r="136" spans="1:5" ht="17.5" customHeight="1">
      <c r="A136" s="22">
        <v>1920</v>
      </c>
      <c r="B136" s="22">
        <v>240</v>
      </c>
      <c r="C136" s="22">
        <v>240</v>
      </c>
      <c r="D136" s="6"/>
      <c r="E136" s="6"/>
    </row>
    <row r="137" spans="1:5" ht="17.5" customHeight="1">
      <c r="A137" s="22">
        <v>1921</v>
      </c>
      <c r="B137" s="22">
        <v>214</v>
      </c>
      <c r="C137" s="22">
        <v>214</v>
      </c>
      <c r="D137" s="6"/>
      <c r="E137" s="6"/>
    </row>
    <row r="138" spans="1:5" ht="17.5" customHeight="1">
      <c r="A138" s="22">
        <v>1922</v>
      </c>
      <c r="B138" s="22">
        <v>200</v>
      </c>
      <c r="C138" s="22">
        <v>200</v>
      </c>
      <c r="D138" s="6"/>
      <c r="E138" s="6"/>
    </row>
    <row r="139" spans="1:5" ht="17.5" customHeight="1">
      <c r="A139" s="22">
        <v>1923</v>
      </c>
      <c r="B139" s="22">
        <v>204</v>
      </c>
      <c r="C139" s="22">
        <v>204</v>
      </c>
      <c r="D139" s="6"/>
      <c r="E139" s="6"/>
    </row>
    <row r="140" spans="1:5" ht="17.5" customHeight="1">
      <c r="A140" s="22">
        <v>1924</v>
      </c>
      <c r="B140" s="22">
        <v>204</v>
      </c>
      <c r="C140" s="22">
        <v>204</v>
      </c>
      <c r="D140" s="6"/>
      <c r="E140" s="6"/>
    </row>
    <row r="141" spans="1:5" ht="17.5" customHeight="1">
      <c r="A141" s="22">
        <v>1925</v>
      </c>
      <c r="B141" s="22">
        <v>210</v>
      </c>
      <c r="C141" s="22">
        <v>210</v>
      </c>
      <c r="D141" s="6"/>
      <c r="E141" s="6"/>
    </row>
    <row r="142" spans="1:5" ht="17.5" customHeight="1">
      <c r="A142" s="22">
        <v>1926</v>
      </c>
      <c r="B142" s="22">
        <v>211</v>
      </c>
      <c r="C142" s="22">
        <v>211</v>
      </c>
      <c r="D142" s="6"/>
      <c r="E142" s="6"/>
    </row>
    <row r="143" spans="1:5" ht="17.5" customHeight="1">
      <c r="A143" s="22">
        <v>1927</v>
      </c>
      <c r="B143" s="22">
        <v>208</v>
      </c>
      <c r="C143" s="22">
        <v>208</v>
      </c>
      <c r="D143" s="6"/>
      <c r="E143" s="6"/>
    </row>
    <row r="144" spans="1:5" ht="17.5" customHeight="1">
      <c r="A144" s="22">
        <v>1928</v>
      </c>
      <c r="B144" s="22">
        <v>205</v>
      </c>
      <c r="C144" s="22">
        <v>205</v>
      </c>
      <c r="D144" s="6"/>
      <c r="E144" s="6"/>
    </row>
    <row r="145" spans="1:5" ht="17.5" customHeight="1">
      <c r="A145" s="22">
        <v>1929</v>
      </c>
      <c r="B145" s="22">
        <v>205</v>
      </c>
      <c r="C145" s="22">
        <v>205</v>
      </c>
      <c r="D145" s="6"/>
      <c r="E145" s="6"/>
    </row>
    <row r="146" spans="1:5" ht="17.5" customHeight="1">
      <c r="A146" s="22">
        <v>1930</v>
      </c>
      <c r="B146" s="22">
        <v>200</v>
      </c>
      <c r="C146" s="22">
        <v>200</v>
      </c>
      <c r="D146" s="6"/>
      <c r="E146" s="6"/>
    </row>
    <row r="147" spans="1:5" ht="17.5" customHeight="1">
      <c r="A147" s="22">
        <v>1931</v>
      </c>
      <c r="B147" s="22">
        <v>182</v>
      </c>
      <c r="C147" s="22">
        <v>182</v>
      </c>
      <c r="D147" s="6"/>
      <c r="E147" s="6"/>
    </row>
    <row r="148" spans="1:5" ht="17.5" customHeight="1">
      <c r="A148" s="22">
        <v>1932</v>
      </c>
      <c r="B148" s="22">
        <v>163</v>
      </c>
      <c r="C148" s="22">
        <v>163</v>
      </c>
      <c r="D148" s="6"/>
      <c r="E148" s="6"/>
    </row>
    <row r="149" spans="1:5" ht="17.5" customHeight="1">
      <c r="A149" s="22">
        <v>1933</v>
      </c>
      <c r="B149" s="22">
        <v>155</v>
      </c>
      <c r="C149" s="22">
        <v>155</v>
      </c>
      <c r="D149" s="6"/>
      <c r="E149" s="6"/>
    </row>
    <row r="150" spans="1:5" ht="17.5" customHeight="1">
      <c r="A150" s="22">
        <v>1934</v>
      </c>
      <c r="B150" s="22">
        <v>160</v>
      </c>
      <c r="C150" s="22">
        <v>160</v>
      </c>
      <c r="D150" s="6"/>
      <c r="E150" s="6"/>
    </row>
    <row r="151" spans="1:5" ht="17.5" customHeight="1">
      <c r="A151" s="22">
        <v>1935</v>
      </c>
      <c r="B151" s="22">
        <v>164</v>
      </c>
      <c r="C151" s="22">
        <v>164</v>
      </c>
      <c r="D151" s="6"/>
      <c r="E151" s="6"/>
    </row>
    <row r="152" spans="1:5" ht="17.5" customHeight="1">
      <c r="A152" s="22">
        <v>1936</v>
      </c>
      <c r="B152" s="22">
        <v>166</v>
      </c>
      <c r="C152" s="22">
        <v>166</v>
      </c>
      <c r="D152" s="6"/>
      <c r="E152" s="6"/>
    </row>
    <row r="153" spans="1:5" ht="17.5" customHeight="1">
      <c r="A153" s="22">
        <v>1937</v>
      </c>
      <c r="B153" s="22">
        <v>172</v>
      </c>
      <c r="C153" s="22">
        <v>172</v>
      </c>
      <c r="D153" s="6"/>
      <c r="E153" s="6"/>
    </row>
    <row r="154" spans="1:5" ht="17.5" customHeight="1">
      <c r="A154" s="22">
        <v>1938</v>
      </c>
      <c r="B154" s="22">
        <v>169</v>
      </c>
      <c r="C154" s="22">
        <v>169</v>
      </c>
      <c r="D154" s="6"/>
      <c r="E154" s="6"/>
    </row>
    <row r="155" spans="1:5" ht="17.5" customHeight="1">
      <c r="A155" s="22">
        <v>1939</v>
      </c>
      <c r="B155" s="22">
        <v>166</v>
      </c>
      <c r="C155" s="22">
        <v>166</v>
      </c>
      <c r="D155" s="6"/>
      <c r="E155" s="6"/>
    </row>
    <row r="156" spans="1:5" ht="17.5" customHeight="1">
      <c r="A156" s="22">
        <v>1940</v>
      </c>
      <c r="B156" s="22">
        <v>168</v>
      </c>
      <c r="C156" s="22">
        <v>168</v>
      </c>
      <c r="D156" s="6"/>
      <c r="E156" s="6"/>
    </row>
    <row r="157" spans="1:5" ht="17.5" customHeight="1">
      <c r="A157" s="22">
        <v>1941</v>
      </c>
      <c r="B157" s="22">
        <v>176</v>
      </c>
      <c r="C157" s="22">
        <v>176</v>
      </c>
      <c r="D157" s="6"/>
      <c r="E157" s="6"/>
    </row>
    <row r="158" spans="1:5" ht="17.5" customHeight="1">
      <c r="A158" s="22">
        <v>1942</v>
      </c>
      <c r="B158" s="22">
        <v>195</v>
      </c>
      <c r="C158" s="22">
        <v>195</v>
      </c>
      <c r="D158" s="6"/>
      <c r="E158" s="6"/>
    </row>
    <row r="159" spans="1:5" ht="17.5" customHeight="1">
      <c r="A159" s="22">
        <v>1943</v>
      </c>
      <c r="B159" s="22">
        <v>207</v>
      </c>
      <c r="C159" s="22">
        <v>207</v>
      </c>
      <c r="D159" s="6"/>
      <c r="E159" s="6"/>
    </row>
    <row r="160" spans="1:5" ht="17.5" customHeight="1">
      <c r="A160" s="22">
        <v>1944</v>
      </c>
      <c r="B160" s="22">
        <v>210</v>
      </c>
      <c r="C160" s="22">
        <v>210</v>
      </c>
      <c r="D160" s="6"/>
      <c r="E160" s="6"/>
    </row>
    <row r="161" spans="1:5" ht="17.5" customHeight="1">
      <c r="A161" s="22">
        <v>1945</v>
      </c>
      <c r="B161" s="22">
        <v>215</v>
      </c>
      <c r="C161" s="22">
        <v>215</v>
      </c>
      <c r="D161" s="6"/>
      <c r="E161" s="6"/>
    </row>
    <row r="162" spans="1:5" ht="17.5" customHeight="1">
      <c r="A162" s="22">
        <v>1946</v>
      </c>
      <c r="B162" s="22">
        <v>233</v>
      </c>
      <c r="C162" s="22">
        <v>233</v>
      </c>
      <c r="D162" s="6"/>
      <c r="E162" s="6"/>
    </row>
    <row r="163" spans="1:5" ht="17.5" customHeight="1">
      <c r="A163" s="22">
        <v>1947</v>
      </c>
      <c r="B163" s="22">
        <v>267</v>
      </c>
      <c r="C163" s="22">
        <v>267</v>
      </c>
      <c r="D163" s="6"/>
      <c r="E163" s="6"/>
    </row>
    <row r="164" spans="1:5" ht="17.5" customHeight="1">
      <c r="A164" s="22">
        <v>1948</v>
      </c>
      <c r="B164" s="22">
        <v>288</v>
      </c>
      <c r="C164" s="22">
        <v>288</v>
      </c>
      <c r="D164" s="6"/>
      <c r="E164" s="6"/>
    </row>
    <row r="165" spans="1:5" ht="17.5" customHeight="1">
      <c r="A165" s="22">
        <v>1949</v>
      </c>
      <c r="B165" s="22">
        <v>285</v>
      </c>
      <c r="C165" s="22">
        <v>285</v>
      </c>
      <c r="D165" s="6"/>
      <c r="E165" s="6"/>
    </row>
    <row r="166" spans="1:5" ht="17.5" customHeight="1">
      <c r="A166" s="22">
        <v>1950</v>
      </c>
      <c r="B166" s="22">
        <v>288</v>
      </c>
      <c r="C166" s="22">
        <v>288</v>
      </c>
      <c r="D166" s="6"/>
      <c r="E166" s="6"/>
    </row>
    <row r="167" spans="1:5" ht="17.5" customHeight="1">
      <c r="A167" s="22">
        <v>1951</v>
      </c>
      <c r="B167" s="22">
        <v>310</v>
      </c>
      <c r="C167" s="22">
        <v>310</v>
      </c>
      <c r="D167" s="6"/>
      <c r="E167" s="6"/>
    </row>
    <row r="168" spans="1:5" ht="17.5" customHeight="1">
      <c r="A168" s="22">
        <v>1952</v>
      </c>
      <c r="B168" s="22">
        <v>317</v>
      </c>
      <c r="C168" s="22">
        <v>317</v>
      </c>
      <c r="D168" s="6"/>
      <c r="E168" s="6"/>
    </row>
    <row r="169" spans="1:5" ht="17.5" customHeight="1">
      <c r="A169" s="22">
        <v>1953</v>
      </c>
      <c r="B169" s="22">
        <v>320</v>
      </c>
      <c r="C169" s="22">
        <v>320</v>
      </c>
      <c r="D169" s="6"/>
      <c r="E169" s="6"/>
    </row>
    <row r="170" spans="1:5" ht="17.5" customHeight="1">
      <c r="A170" s="22">
        <v>1954</v>
      </c>
      <c r="B170" s="22">
        <v>321</v>
      </c>
      <c r="C170" s="22">
        <v>321</v>
      </c>
      <c r="D170" s="6"/>
      <c r="E170" s="6"/>
    </row>
    <row r="171" spans="1:5" ht="17.5" customHeight="1">
      <c r="A171" s="22">
        <v>1955</v>
      </c>
      <c r="B171" s="22">
        <v>320</v>
      </c>
      <c r="C171" s="22">
        <v>320</v>
      </c>
      <c r="D171" s="6"/>
      <c r="E171" s="6"/>
    </row>
    <row r="172" spans="1:5" ht="17.5" customHeight="1">
      <c r="A172" s="22">
        <v>1956</v>
      </c>
      <c r="B172" s="22">
        <v>325</v>
      </c>
      <c r="C172" s="22">
        <v>325</v>
      </c>
      <c r="D172" s="6"/>
      <c r="E172" s="6"/>
    </row>
    <row r="173" spans="1:5" ht="17.5" customHeight="1">
      <c r="A173" s="22">
        <v>1957</v>
      </c>
      <c r="B173" s="22">
        <v>336</v>
      </c>
      <c r="C173" s="22">
        <v>336</v>
      </c>
      <c r="D173" s="6"/>
      <c r="E173" s="6"/>
    </row>
    <row r="174" spans="1:5" ht="17.5" customHeight="1">
      <c r="A174" s="22">
        <v>1958</v>
      </c>
      <c r="B174" s="22">
        <v>346</v>
      </c>
      <c r="C174" s="22">
        <v>346</v>
      </c>
      <c r="D174" s="6"/>
      <c r="E174" s="6"/>
    </row>
    <row r="175" spans="1:5" ht="17.5" customHeight="1">
      <c r="A175" s="22">
        <v>1959</v>
      </c>
      <c r="B175" s="22">
        <v>348</v>
      </c>
      <c r="C175" s="22">
        <v>348</v>
      </c>
      <c r="D175" s="6"/>
      <c r="E175" s="6"/>
    </row>
    <row r="176" spans="1:5" ht="17.5" customHeight="1">
      <c r="A176" s="22">
        <v>1960</v>
      </c>
      <c r="B176" s="22">
        <v>354</v>
      </c>
      <c r="C176" s="22">
        <v>354</v>
      </c>
      <c r="D176" s="6"/>
      <c r="E176" s="6"/>
    </row>
    <row r="177" spans="1:5" ht="17.5" customHeight="1">
      <c r="A177" s="22">
        <v>1961</v>
      </c>
      <c r="B177" s="22">
        <v>358</v>
      </c>
      <c r="C177" s="22">
        <v>358</v>
      </c>
      <c r="D177" s="6"/>
      <c r="E177" s="6"/>
    </row>
    <row r="178" spans="1:5" ht="17.5" customHeight="1">
      <c r="A178" s="22">
        <v>1962</v>
      </c>
      <c r="B178" s="22">
        <v>362</v>
      </c>
      <c r="C178" s="22">
        <v>362</v>
      </c>
      <c r="D178" s="6"/>
      <c r="E178" s="6"/>
    </row>
    <row r="179" spans="1:5" ht="17.5" customHeight="1">
      <c r="A179" s="22">
        <v>1963</v>
      </c>
      <c r="B179" s="22">
        <v>366</v>
      </c>
      <c r="C179" s="22">
        <v>366</v>
      </c>
      <c r="D179" s="6"/>
      <c r="E179" s="6"/>
    </row>
    <row r="180" spans="1:5" ht="17.5" customHeight="1">
      <c r="A180" s="22">
        <v>1964</v>
      </c>
      <c r="B180" s="22">
        <v>371</v>
      </c>
      <c r="C180" s="22">
        <v>371</v>
      </c>
      <c r="D180" s="6"/>
      <c r="E180" s="6"/>
    </row>
    <row r="181" spans="1:5" ht="17.5" customHeight="1">
      <c r="A181" s="22">
        <v>1965</v>
      </c>
      <c r="B181" s="22">
        <v>377</v>
      </c>
      <c r="C181" s="22">
        <v>377</v>
      </c>
      <c r="D181" s="6"/>
      <c r="E181" s="6"/>
    </row>
    <row r="182" spans="1:5" ht="17.5" customHeight="1">
      <c r="A182" s="22">
        <v>1966</v>
      </c>
      <c r="B182" s="22">
        <v>388</v>
      </c>
      <c r="C182" s="22">
        <v>388</v>
      </c>
      <c r="D182" s="6"/>
      <c r="E182" s="6"/>
    </row>
    <row r="183" spans="1:5" ht="17.5" customHeight="1">
      <c r="A183" s="22">
        <v>1967</v>
      </c>
      <c r="B183" s="22">
        <v>399</v>
      </c>
      <c r="C183" s="22">
        <v>399</v>
      </c>
      <c r="D183" s="6"/>
      <c r="E183" s="6"/>
    </row>
    <row r="184" spans="1:5" ht="17.5" customHeight="1">
      <c r="A184" s="22">
        <v>1968</v>
      </c>
      <c r="B184" s="22">
        <v>416</v>
      </c>
      <c r="C184" s="22">
        <v>416</v>
      </c>
      <c r="D184" s="6"/>
      <c r="E184" s="6"/>
    </row>
    <row r="185" spans="1:5" ht="17.5" customHeight="1">
      <c r="A185" s="22">
        <v>1969</v>
      </c>
      <c r="B185" s="22">
        <v>438</v>
      </c>
      <c r="C185" s="22">
        <v>438</v>
      </c>
      <c r="D185" s="6"/>
      <c r="E185" s="6"/>
    </row>
    <row r="186" spans="1:5" ht="17.5" customHeight="1">
      <c r="A186" s="22">
        <v>1970</v>
      </c>
      <c r="B186" s="22">
        <v>464</v>
      </c>
      <c r="C186" s="22">
        <v>464</v>
      </c>
      <c r="D186" s="6"/>
      <c r="E186" s="6"/>
    </row>
    <row r="187" spans="1:5" ht="17.5" customHeight="1">
      <c r="A187" s="22">
        <v>1971</v>
      </c>
      <c r="B187" s="22">
        <v>484</v>
      </c>
      <c r="C187" s="22">
        <v>484</v>
      </c>
      <c r="D187" s="6"/>
      <c r="E187" s="6"/>
    </row>
    <row r="188" spans="1:5" ht="17.5" customHeight="1">
      <c r="A188" s="22">
        <v>1972</v>
      </c>
      <c r="B188" s="22">
        <v>500</v>
      </c>
      <c r="C188" s="22">
        <v>500</v>
      </c>
      <c r="D188" s="6"/>
      <c r="E188" s="6"/>
    </row>
    <row r="189" spans="1:5" ht="17.5" customHeight="1">
      <c r="A189" s="22">
        <v>1973</v>
      </c>
      <c r="B189" s="22">
        <v>531</v>
      </c>
      <c r="C189" s="22">
        <v>531</v>
      </c>
      <c r="D189" s="6"/>
      <c r="E189" s="6"/>
    </row>
    <row r="190" spans="1:5" ht="17.5" customHeight="1">
      <c r="A190" s="22">
        <v>1974</v>
      </c>
      <c r="B190" s="22">
        <v>590</v>
      </c>
      <c r="C190" s="22">
        <v>589</v>
      </c>
      <c r="D190" s="6"/>
      <c r="E190" s="6"/>
    </row>
    <row r="191" spans="1:5" ht="13.75" customHeight="1">
      <c r="A191" s="6"/>
      <c r="B191" s="6"/>
      <c r="C191" s="6"/>
      <c r="D191" s="6"/>
      <c r="E191" s="6"/>
    </row>
  </sheetData>
  <pageMargins left="0.75" right="0.75" top="1" bottom="1" header="0.5" footer="0.5"/>
  <pageSetup orientation="portrait"/>
  <headerFooter>
    <oddFooter>&amp;C&amp;"Helvetica Neue,Regular"&amp;12&amp;K000000&amp;P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254"/>
  <sheetViews>
    <sheetView showGridLines="0" workbookViewId="0">
      <selection activeCell="I239" sqref="I239"/>
    </sheetView>
  </sheetViews>
  <sheetFormatPr baseColWidth="10" defaultColWidth="9.1640625" defaultRowHeight="16" customHeight="1"/>
  <cols>
    <col min="1" max="1" width="14.5" style="4" customWidth="1"/>
    <col min="2" max="2" width="15.33203125" style="4" customWidth="1"/>
    <col min="3" max="3" width="17.33203125" style="4" customWidth="1"/>
    <col min="4" max="4" width="17.6640625" style="4" customWidth="1"/>
    <col min="5" max="5" width="13" style="4" customWidth="1"/>
    <col min="6" max="6" width="18.1640625" style="4" customWidth="1"/>
    <col min="7" max="7" width="15.83203125" style="4" customWidth="1"/>
    <col min="8" max="9" width="9.1640625" style="4" customWidth="1"/>
    <col min="10" max="10" width="10.1640625" style="4" customWidth="1"/>
    <col min="11" max="17" width="9.1640625" style="4" customWidth="1"/>
    <col min="18" max="16384" width="9.1640625" style="4"/>
  </cols>
  <sheetData>
    <row r="1" spans="1:16" ht="17.5" customHeight="1">
      <c r="A1" s="8" t="s">
        <v>587</v>
      </c>
      <c r="B1" s="6"/>
      <c r="C1" s="6"/>
      <c r="D1" s="6"/>
      <c r="E1" s="6"/>
      <c r="F1" s="6"/>
      <c r="G1" s="6"/>
      <c r="H1" s="6"/>
      <c r="I1" s="49"/>
      <c r="J1" s="49"/>
      <c r="K1" s="49"/>
      <c r="L1" s="49"/>
      <c r="M1" s="6"/>
      <c r="N1" s="6"/>
      <c r="O1" s="6"/>
      <c r="P1" s="6"/>
    </row>
    <row r="2" spans="1:16" ht="39.75" customHeight="1">
      <c r="A2" s="242" t="s">
        <v>588</v>
      </c>
      <c r="B2" s="243"/>
      <c r="C2" s="243"/>
      <c r="D2" s="243"/>
      <c r="E2" s="243"/>
      <c r="F2" s="243"/>
      <c r="G2" s="243"/>
      <c r="H2" s="6"/>
      <c r="I2" s="49"/>
      <c r="J2" s="49"/>
      <c r="K2" s="49"/>
      <c r="L2" s="49"/>
      <c r="M2" s="6"/>
      <c r="N2" s="6"/>
      <c r="O2" s="6"/>
      <c r="P2" s="6"/>
    </row>
    <row r="3" spans="1:16" ht="13.75" customHeight="1">
      <c r="A3" s="6"/>
      <c r="B3" s="6"/>
      <c r="C3" s="6"/>
      <c r="D3" s="6"/>
      <c r="E3" s="6"/>
      <c r="F3" s="6"/>
      <c r="G3" s="6"/>
      <c r="H3" s="6"/>
      <c r="I3" s="49"/>
      <c r="J3" s="49"/>
      <c r="K3" s="49"/>
      <c r="L3" s="49"/>
      <c r="M3" s="6"/>
      <c r="N3" s="6"/>
      <c r="O3" s="6"/>
      <c r="P3" s="6"/>
    </row>
    <row r="4" spans="1:16" ht="20" customHeight="1">
      <c r="A4" s="244" t="s">
        <v>625</v>
      </c>
      <c r="B4" s="245"/>
      <c r="C4" s="245"/>
      <c r="D4" s="245"/>
      <c r="E4" s="245"/>
      <c r="F4" s="245"/>
      <c r="G4" s="245"/>
      <c r="H4" s="6"/>
      <c r="I4" s="49"/>
      <c r="J4" s="49"/>
      <c r="K4" s="49"/>
      <c r="L4" s="49"/>
      <c r="M4" s="6"/>
      <c r="N4" s="6"/>
      <c r="O4" s="6"/>
      <c r="P4" s="6"/>
    </row>
    <row r="5" spans="1:16" ht="20" customHeight="1">
      <c r="A5" s="180"/>
      <c r="B5" s="181"/>
      <c r="C5" s="181"/>
      <c r="D5" s="220" t="s">
        <v>626</v>
      </c>
      <c r="E5" s="181"/>
      <c r="F5" s="181"/>
      <c r="G5" s="181"/>
      <c r="H5" s="6"/>
      <c r="I5" s="49"/>
      <c r="J5" s="49"/>
      <c r="K5" s="49"/>
      <c r="L5" s="49"/>
      <c r="M5" s="6"/>
      <c r="N5" s="6"/>
      <c r="O5" s="6"/>
      <c r="P5" s="6"/>
    </row>
    <row r="6" spans="1:16" ht="20" customHeight="1">
      <c r="A6" s="6"/>
      <c r="B6" s="6"/>
      <c r="C6" s="6"/>
      <c r="D6" s="176" t="s">
        <v>621</v>
      </c>
      <c r="E6" s="6"/>
      <c r="F6" s="6"/>
      <c r="G6" s="6"/>
      <c r="H6" s="6"/>
      <c r="I6" s="49"/>
      <c r="J6" s="49"/>
      <c r="K6" s="49"/>
      <c r="L6" s="49"/>
      <c r="M6" s="6"/>
      <c r="N6" s="6"/>
      <c r="O6" s="6"/>
      <c r="P6" s="6"/>
    </row>
    <row r="7" spans="1:16" ht="20" customHeight="1">
      <c r="A7" s="6"/>
      <c r="B7" s="6"/>
      <c r="C7" s="6"/>
      <c r="E7" s="6"/>
      <c r="F7" s="6"/>
      <c r="G7" s="6"/>
      <c r="H7" s="6"/>
      <c r="I7" s="49"/>
      <c r="J7" s="49"/>
      <c r="K7" s="49"/>
      <c r="L7" s="49"/>
      <c r="M7" s="6"/>
      <c r="N7" s="6"/>
      <c r="O7" s="6"/>
      <c r="P7" s="6"/>
    </row>
    <row r="8" spans="1:16" ht="20" customHeight="1">
      <c r="A8" s="6"/>
      <c r="B8" s="6"/>
      <c r="C8" s="6"/>
      <c r="D8" s="176" t="s">
        <v>573</v>
      </c>
      <c r="E8" s="6"/>
      <c r="F8" s="6"/>
      <c r="G8" s="6"/>
      <c r="H8" s="6"/>
      <c r="I8" s="49"/>
      <c r="J8" s="49"/>
      <c r="K8" s="49"/>
      <c r="L8" s="49"/>
      <c r="M8" s="6"/>
      <c r="N8" s="6"/>
      <c r="O8" s="6"/>
      <c r="P8" s="6"/>
    </row>
    <row r="9" spans="1:16" ht="21" customHeight="1">
      <c r="A9" s="6"/>
      <c r="B9" s="6"/>
      <c r="C9" s="6"/>
      <c r="D9" s="176" t="s">
        <v>620</v>
      </c>
      <c r="E9" s="6"/>
      <c r="F9" s="6"/>
      <c r="G9" s="6"/>
      <c r="H9" s="6"/>
      <c r="I9" s="49"/>
      <c r="J9" s="49"/>
      <c r="K9" s="49"/>
      <c r="L9" s="49"/>
      <c r="M9" s="6"/>
      <c r="N9" s="6"/>
      <c r="O9" s="6"/>
      <c r="P9" s="6"/>
    </row>
    <row r="10" spans="1:16" ht="51" customHeight="1">
      <c r="A10" s="8" t="s">
        <v>95</v>
      </c>
      <c r="B10" s="207" t="s">
        <v>595</v>
      </c>
      <c r="C10" s="12" t="s">
        <v>589</v>
      </c>
      <c r="D10" s="207" t="s">
        <v>596</v>
      </c>
      <c r="E10" s="12" t="s">
        <v>127</v>
      </c>
      <c r="F10" s="207" t="s">
        <v>597</v>
      </c>
      <c r="G10" s="12" t="s">
        <v>590</v>
      </c>
      <c r="H10" s="6"/>
      <c r="I10" s="49"/>
      <c r="J10" s="49"/>
      <c r="K10" s="49"/>
      <c r="L10" s="49"/>
      <c r="M10" s="6"/>
      <c r="N10" s="6"/>
      <c r="O10" s="6"/>
      <c r="P10" s="6"/>
    </row>
    <row r="11" spans="1:16" ht="17.5" customHeight="1">
      <c r="A11" s="108">
        <v>1790</v>
      </c>
      <c r="B11" s="121">
        <f>'E10 - GDP, 1790-1909'!I11</f>
        <v>4.9750345861913958</v>
      </c>
      <c r="C11" s="137">
        <f t="shared" ref="C11:C42" si="0">B11*D11/100</f>
        <v>0.19289785391508413</v>
      </c>
      <c r="D11" s="137">
        <f>'E10 - GDP, 1790-1909'!E11</f>
        <v>3.8773168421881419</v>
      </c>
      <c r="E11" s="43">
        <v>3929</v>
      </c>
      <c r="F11" s="177">
        <f t="shared" ref="F11:F74" si="1">(B11/E11)*1000000</f>
        <v>1266.2343054699404</v>
      </c>
      <c r="G11" s="177">
        <f t="shared" ref="G11:G74" si="2">(C11/E11)*1000000</f>
        <v>49.09591598755005</v>
      </c>
      <c r="H11" s="6"/>
      <c r="I11" s="49"/>
      <c r="J11" s="49"/>
      <c r="K11" s="49"/>
      <c r="L11" s="49"/>
      <c r="M11" s="6"/>
      <c r="N11" s="6"/>
      <c r="O11" s="6"/>
      <c r="P11" s="6"/>
    </row>
    <row r="12" spans="1:16" ht="17.5" customHeight="1">
      <c r="A12" s="108">
        <v>1791</v>
      </c>
      <c r="B12" s="121">
        <f>'E10 - GDP, 1790-1909'!I12</f>
        <v>5.2739559328678443</v>
      </c>
      <c r="C12" s="137">
        <f t="shared" si="0"/>
        <v>0.21006492658833836</v>
      </c>
      <c r="D12" s="137">
        <f>'E10 - GDP, 1790-1909'!E12</f>
        <v>3.9830618469750911</v>
      </c>
      <c r="E12" s="43">
        <v>4048</v>
      </c>
      <c r="F12" s="177">
        <f t="shared" si="1"/>
        <v>1302.8547264989734</v>
      </c>
      <c r="G12" s="177">
        <f t="shared" si="2"/>
        <v>51.893509532692285</v>
      </c>
      <c r="H12" s="6"/>
      <c r="I12" s="49"/>
      <c r="J12" s="49"/>
      <c r="K12" s="49"/>
      <c r="L12" s="49"/>
      <c r="M12" s="6"/>
      <c r="N12" s="6"/>
      <c r="O12" s="6"/>
      <c r="P12" s="6"/>
    </row>
    <row r="13" spans="1:16" ht="17.5" customHeight="1">
      <c r="A13" s="108">
        <v>1792</v>
      </c>
      <c r="B13" s="121">
        <f>'E10 - GDP, 1790-1909'!I13</f>
        <v>5.662670122118171</v>
      </c>
      <c r="C13" s="137">
        <f t="shared" si="0"/>
        <v>0.22953964701528204</v>
      </c>
      <c r="D13" s="137">
        <f>'E10 - GDP, 1790-1909'!E13</f>
        <v>4.0535585168330579</v>
      </c>
      <c r="E13" s="43">
        <v>4171</v>
      </c>
      <c r="F13" s="177">
        <f t="shared" si="1"/>
        <v>1357.6288952572934</v>
      </c>
      <c r="G13" s="177">
        <f t="shared" si="2"/>
        <v>55.032281710688572</v>
      </c>
      <c r="H13" s="6"/>
      <c r="I13" s="49"/>
      <c r="J13" s="49"/>
      <c r="K13" s="49"/>
      <c r="L13" s="49"/>
      <c r="M13" s="6"/>
      <c r="N13" s="6"/>
      <c r="O13" s="6"/>
      <c r="P13" s="6"/>
    </row>
    <row r="14" spans="1:16" ht="17.5" customHeight="1">
      <c r="A14" s="108">
        <v>1793</v>
      </c>
      <c r="B14" s="121">
        <f>'E10 - GDP, 1790-1909'!I14</f>
        <v>6.1125788133689323</v>
      </c>
      <c r="C14" s="137">
        <f t="shared" si="0"/>
        <v>0.25639528809918677</v>
      </c>
      <c r="D14" s="137">
        <f>'E10 - GDP, 1790-1909'!E14</f>
        <v>4.1945518565489897</v>
      </c>
      <c r="E14" s="43">
        <v>4297</v>
      </c>
      <c r="F14" s="177">
        <f t="shared" si="1"/>
        <v>1422.5224140956325</v>
      </c>
      <c r="G14" s="177">
        <f t="shared" si="2"/>
        <v>59.668440330273853</v>
      </c>
      <c r="H14" s="6"/>
      <c r="I14" s="49"/>
      <c r="J14" s="49"/>
      <c r="K14" s="49"/>
      <c r="L14" s="49"/>
      <c r="M14" s="6"/>
      <c r="N14" s="6"/>
      <c r="O14" s="6"/>
      <c r="P14" s="6"/>
    </row>
    <row r="15" spans="1:16" ht="17.5" customHeight="1">
      <c r="A15" s="108">
        <v>1794</v>
      </c>
      <c r="B15" s="121">
        <f>'E10 - GDP, 1790-1909'!I15</f>
        <v>6.9052749610062589</v>
      </c>
      <c r="C15" s="137">
        <f t="shared" si="0"/>
        <v>0.32128726687499559</v>
      </c>
      <c r="D15" s="137">
        <f>'E10 - GDP, 1790-1909'!E15</f>
        <v>4.6527802106257701</v>
      </c>
      <c r="E15" s="43">
        <v>4428</v>
      </c>
      <c r="F15" s="177">
        <f t="shared" si="1"/>
        <v>1559.4568565958127</v>
      </c>
      <c r="G15" s="177">
        <f t="shared" si="2"/>
        <v>72.558100016936677</v>
      </c>
      <c r="H15" s="6"/>
      <c r="I15" s="49"/>
      <c r="J15" s="49"/>
      <c r="K15" s="49"/>
      <c r="L15" s="49"/>
      <c r="M15" s="6"/>
      <c r="N15" s="6"/>
      <c r="O15" s="6"/>
      <c r="P15" s="6"/>
    </row>
    <row r="16" spans="1:16" ht="17.5" customHeight="1">
      <c r="A16" s="108">
        <v>1795</v>
      </c>
      <c r="B16" s="121">
        <f>'E10 - GDP, 1790-1909'!I16</f>
        <v>7.3312820783558594</v>
      </c>
      <c r="C16" s="137">
        <f t="shared" si="0"/>
        <v>0.39020738409667549</v>
      </c>
      <c r="D16" s="137">
        <f>'E10 - GDP, 1790-1909'!E16</f>
        <v>5.3224985742764499</v>
      </c>
      <c r="E16" s="43">
        <v>4562</v>
      </c>
      <c r="F16" s="177">
        <f t="shared" si="1"/>
        <v>1607.0324590872117</v>
      </c>
      <c r="G16" s="177">
        <f t="shared" si="2"/>
        <v>85.534279723076608</v>
      </c>
      <c r="H16" s="6"/>
      <c r="I16" s="49"/>
      <c r="J16" s="49"/>
      <c r="K16" s="49"/>
      <c r="L16" s="49"/>
      <c r="M16" s="6"/>
      <c r="N16" s="6"/>
      <c r="O16" s="6"/>
      <c r="P16" s="6"/>
    </row>
    <row r="17" spans="1:16" ht="17.5" customHeight="1">
      <c r="A17" s="108">
        <v>1796</v>
      </c>
      <c r="B17" s="121">
        <f>'E10 - GDP, 1790-1909'!I17</f>
        <v>7.5525338989606121</v>
      </c>
      <c r="C17" s="137">
        <f t="shared" si="0"/>
        <v>0.42328064864856907</v>
      </c>
      <c r="D17" s="137">
        <f>'E10 - GDP, 1790-1909'!E17</f>
        <v>5.6044852537083134</v>
      </c>
      <c r="E17" s="43">
        <v>4700</v>
      </c>
      <c r="F17" s="177">
        <f t="shared" si="1"/>
        <v>1606.9221061618323</v>
      </c>
      <c r="G17" s="177">
        <f t="shared" si="2"/>
        <v>90.059712478418959</v>
      </c>
      <c r="H17" s="6"/>
      <c r="I17" s="49"/>
      <c r="J17" s="49"/>
      <c r="K17" s="49"/>
      <c r="L17" s="49"/>
      <c r="M17" s="6"/>
      <c r="N17" s="6"/>
      <c r="O17" s="6"/>
      <c r="P17" s="6"/>
    </row>
    <row r="18" spans="1:16" ht="17.5" customHeight="1">
      <c r="A18" s="108">
        <v>1797</v>
      </c>
      <c r="B18" s="121">
        <f>'E10 - GDP, 1790-1909'!I18</f>
        <v>7.691939919165474</v>
      </c>
      <c r="C18" s="137">
        <f t="shared" si="0"/>
        <v>0.41482595402227057</v>
      </c>
      <c r="D18" s="137">
        <f>'E10 - GDP, 1790-1909'!E18</f>
        <v>5.3929952441344149</v>
      </c>
      <c r="E18" s="43">
        <v>4843</v>
      </c>
      <c r="F18" s="177">
        <f t="shared" si="1"/>
        <v>1588.2593266911986</v>
      </c>
      <c r="G18" s="177">
        <f t="shared" si="2"/>
        <v>85.65474995297761</v>
      </c>
      <c r="H18" s="6"/>
      <c r="I18" s="49"/>
      <c r="J18" s="49"/>
      <c r="K18" s="49"/>
      <c r="L18" s="49"/>
      <c r="M18" s="6"/>
      <c r="N18" s="6"/>
      <c r="O18" s="6"/>
      <c r="P18" s="6"/>
    </row>
    <row r="19" spans="1:16" ht="17.5" customHeight="1">
      <c r="A19" s="108">
        <v>1798</v>
      </c>
      <c r="B19" s="121">
        <f>'E10 - GDP, 1790-1909'!I19</f>
        <v>8.0093884524636305</v>
      </c>
      <c r="C19" s="137">
        <f t="shared" si="0"/>
        <v>0.41783005798817635</v>
      </c>
      <c r="D19" s="137">
        <f>'E10 - GDP, 1790-1909'!E19</f>
        <v>5.2167535694895006</v>
      </c>
      <c r="E19" s="43">
        <v>4990</v>
      </c>
      <c r="F19" s="177">
        <f t="shared" si="1"/>
        <v>1605.0878662251764</v>
      </c>
      <c r="G19" s="177">
        <f t="shared" si="2"/>
        <v>83.733478554744764</v>
      </c>
      <c r="H19" s="6"/>
      <c r="I19" s="49"/>
      <c r="J19" s="49"/>
      <c r="K19" s="49"/>
      <c r="L19" s="49"/>
      <c r="M19" s="6"/>
      <c r="N19" s="6"/>
      <c r="O19" s="6"/>
      <c r="P19" s="6"/>
    </row>
    <row r="20" spans="1:16" ht="17.5" customHeight="1">
      <c r="A20" s="108">
        <v>1799</v>
      </c>
      <c r="B20" s="121">
        <f>'E10 - GDP, 1790-1909'!I20</f>
        <v>8.5610076988096857</v>
      </c>
      <c r="C20" s="137">
        <f t="shared" si="0"/>
        <v>0.44660667471192528</v>
      </c>
      <c r="D20" s="137">
        <f>'E10 - GDP, 1790-1909'!E20</f>
        <v>5.2167535694895006</v>
      </c>
      <c r="E20" s="43">
        <v>5141</v>
      </c>
      <c r="F20" s="177">
        <f t="shared" si="1"/>
        <v>1665.2417231685829</v>
      </c>
      <c r="G20" s="177">
        <f t="shared" si="2"/>
        <v>86.871557034025528</v>
      </c>
      <c r="H20" s="6"/>
      <c r="I20" s="49"/>
      <c r="J20" s="49"/>
      <c r="K20" s="49"/>
      <c r="L20" s="49"/>
      <c r="M20" s="6"/>
      <c r="N20" s="6"/>
      <c r="O20" s="6"/>
      <c r="P20" s="6"/>
    </row>
    <row r="21" spans="1:16" ht="17.5" customHeight="1">
      <c r="A21" s="22">
        <v>1800</v>
      </c>
      <c r="B21" s="69">
        <f>'E10 - GDP, 1790-1909'!I21</f>
        <v>9.0487515566806813</v>
      </c>
      <c r="C21" s="137">
        <f t="shared" si="0"/>
        <v>0.48550370221184203</v>
      </c>
      <c r="D21" s="137">
        <f>'E10 - GDP, 1790-1909'!E21</f>
        <v>5.3654219498754534</v>
      </c>
      <c r="E21" s="43">
        <v>5297</v>
      </c>
      <c r="F21" s="177">
        <f t="shared" si="1"/>
        <v>1708.2785645989582</v>
      </c>
      <c r="G21" s="177">
        <f t="shared" si="2"/>
        <v>91.656353070009828</v>
      </c>
      <c r="H21" s="6"/>
      <c r="I21" s="49"/>
      <c r="J21" s="49"/>
      <c r="K21" s="49"/>
      <c r="L21" s="49"/>
      <c r="M21" s="6"/>
      <c r="N21" s="6"/>
      <c r="O21" s="6"/>
      <c r="P21" s="6"/>
    </row>
    <row r="22" spans="1:16" ht="17.5" customHeight="1">
      <c r="A22" s="22">
        <v>1801</v>
      </c>
      <c r="B22" s="69">
        <f>'E10 - GDP, 1790-1909'!I22</f>
        <v>9.4897293801368257</v>
      </c>
      <c r="C22" s="137">
        <f t="shared" si="0"/>
        <v>0.52003518083187639</v>
      </c>
      <c r="D22" s="137">
        <f>'E10 - GDP, 1790-1909'!E22</f>
        <v>5.4799790383946476</v>
      </c>
      <c r="E22" s="43">
        <v>5486</v>
      </c>
      <c r="F22" s="177">
        <f t="shared" si="1"/>
        <v>1729.8084907285499</v>
      </c>
      <c r="G22" s="177">
        <f t="shared" si="2"/>
        <v>94.793142696295376</v>
      </c>
      <c r="H22" s="6"/>
      <c r="I22" s="49"/>
      <c r="J22" s="49"/>
      <c r="K22" s="49"/>
      <c r="L22" s="49"/>
      <c r="M22" s="6"/>
      <c r="N22" s="6"/>
      <c r="O22" s="6"/>
      <c r="P22" s="6"/>
    </row>
    <row r="23" spans="1:16" ht="17.5" customHeight="1">
      <c r="A23" s="22">
        <v>1802</v>
      </c>
      <c r="B23" s="69">
        <f>'E10 - GDP, 1790-1909'!I23</f>
        <v>9.7881716847123084</v>
      </c>
      <c r="C23" s="137">
        <f t="shared" si="0"/>
        <v>0.45583947410484332</v>
      </c>
      <c r="D23" s="137">
        <f>'E10 - GDP, 1790-1909'!E23</f>
        <v>4.6570441221091157</v>
      </c>
      <c r="E23" s="43">
        <v>5679</v>
      </c>
      <c r="F23" s="177">
        <f t="shared" si="1"/>
        <v>1723.5731087713168</v>
      </c>
      <c r="G23" s="177">
        <f t="shared" si="2"/>
        <v>80.267560152287956</v>
      </c>
      <c r="H23" s="6"/>
      <c r="I23" s="49"/>
      <c r="J23" s="49"/>
      <c r="K23" s="49"/>
      <c r="L23" s="49"/>
      <c r="M23" s="6"/>
      <c r="N23" s="6"/>
      <c r="O23" s="6"/>
      <c r="P23" s="6"/>
    </row>
    <row r="24" spans="1:16" ht="17.5" customHeight="1">
      <c r="A24" s="22">
        <v>1803</v>
      </c>
      <c r="B24" s="69">
        <f>'E10 - GDP, 1790-1909'!I24</f>
        <v>9.9541093824774887</v>
      </c>
      <c r="C24" s="137">
        <f t="shared" si="0"/>
        <v>0.49257028412829695</v>
      </c>
      <c r="D24" s="137">
        <f>'E10 - GDP, 1790-1909'!E24</f>
        <v>4.9484114068043388</v>
      </c>
      <c r="E24" s="43">
        <v>5872</v>
      </c>
      <c r="F24" s="177">
        <f t="shared" si="1"/>
        <v>1695.1821155445314</v>
      </c>
      <c r="G24" s="177">
        <f t="shared" si="2"/>
        <v>83.884585171712686</v>
      </c>
      <c r="H24" s="6"/>
      <c r="I24" s="49"/>
      <c r="J24" s="49"/>
      <c r="K24" s="49"/>
      <c r="L24" s="49"/>
      <c r="M24" s="6"/>
      <c r="N24" s="6"/>
      <c r="O24" s="6"/>
      <c r="P24" s="6"/>
    </row>
    <row r="25" spans="1:16" ht="17.5" customHeight="1">
      <c r="A25" s="22">
        <v>1804</v>
      </c>
      <c r="B25" s="69">
        <f>'E10 - GDP, 1790-1909'!I25</f>
        <v>10.340632008974586</v>
      </c>
      <c r="C25" s="137">
        <f t="shared" si="0"/>
        <v>0.5384458812057451</v>
      </c>
      <c r="D25" s="137">
        <f>'E10 - GDP, 1790-1909'!E25</f>
        <v>5.2070887034605864</v>
      </c>
      <c r="E25" s="43">
        <v>6065</v>
      </c>
      <c r="F25" s="177">
        <f t="shared" si="1"/>
        <v>1704.9681795506324</v>
      </c>
      <c r="G25" s="177">
        <f t="shared" si="2"/>
        <v>88.779205474978582</v>
      </c>
      <c r="H25" s="6"/>
      <c r="I25" s="49"/>
      <c r="J25" s="49"/>
      <c r="K25" s="49"/>
      <c r="L25" s="49"/>
      <c r="M25" s="6"/>
      <c r="N25" s="6"/>
      <c r="O25" s="6"/>
      <c r="P25" s="6"/>
    </row>
    <row r="26" spans="1:16" ht="17.5" customHeight="1">
      <c r="A26" s="22">
        <v>1805</v>
      </c>
      <c r="B26" s="69">
        <f>'E10 - GDP, 1790-1909'!I26</f>
        <v>10.888552694447386</v>
      </c>
      <c r="C26" s="137">
        <f t="shared" si="0"/>
        <v>0.56734801992188988</v>
      </c>
      <c r="D26" s="137">
        <f>'E10 - GDP, 1790-1909'!E26</f>
        <v>5.2104998326472609</v>
      </c>
      <c r="E26" s="43">
        <v>6258</v>
      </c>
      <c r="F26" s="177">
        <f t="shared" si="1"/>
        <v>1739.941306239595</v>
      </c>
      <c r="G26" s="177">
        <f t="shared" si="2"/>
        <v>90.659638849774666</v>
      </c>
      <c r="H26" s="6"/>
      <c r="I26" s="49"/>
      <c r="J26" s="49"/>
      <c r="K26" s="49"/>
      <c r="L26" s="49"/>
      <c r="M26" s="6"/>
      <c r="N26" s="6"/>
      <c r="O26" s="6"/>
      <c r="P26" s="6"/>
    </row>
    <row r="27" spans="1:16" ht="17.5" customHeight="1">
      <c r="A27" s="22">
        <v>1806</v>
      </c>
      <c r="B27" s="69">
        <f>'E10 - GDP, 1790-1909'!I27</f>
        <v>11.403354771407447</v>
      </c>
      <c r="C27" s="137">
        <f t="shared" si="0"/>
        <v>0.62422073061188554</v>
      </c>
      <c r="D27" s="137">
        <f>'E10 - GDP, 1790-1909'!E27</f>
        <v>5.4740095623179652</v>
      </c>
      <c r="E27" s="43">
        <v>6451</v>
      </c>
      <c r="F27" s="177">
        <f t="shared" si="1"/>
        <v>1767.6879199205466</v>
      </c>
      <c r="G27" s="177">
        <f t="shared" si="2"/>
        <v>96.763405768390257</v>
      </c>
      <c r="H27" s="6"/>
      <c r="I27" s="49"/>
      <c r="J27" s="49"/>
      <c r="K27" s="49"/>
      <c r="L27" s="49"/>
      <c r="M27" s="6"/>
      <c r="N27" s="6"/>
      <c r="O27" s="6"/>
      <c r="P27" s="6"/>
    </row>
    <row r="28" spans="1:16" ht="17.5" customHeight="1">
      <c r="A28" s="22">
        <v>1807</v>
      </c>
      <c r="B28" s="69">
        <f>'E10 - GDP, 1790-1909'!I28</f>
        <v>11.413958545610225</v>
      </c>
      <c r="C28" s="137">
        <f t="shared" si="0"/>
        <v>0.59530830822440528</v>
      </c>
      <c r="D28" s="137">
        <f>'E10 - GDP, 1790-1909'!E28</f>
        <v>5.2156165264272767</v>
      </c>
      <c r="E28" s="43">
        <v>6644</v>
      </c>
      <c r="F28" s="177">
        <f t="shared" si="1"/>
        <v>1717.9347600256208</v>
      </c>
      <c r="G28" s="177">
        <f t="shared" si="2"/>
        <v>89.600889257135051</v>
      </c>
      <c r="H28" s="6"/>
      <c r="I28" s="49"/>
      <c r="J28" s="49"/>
      <c r="K28" s="49"/>
      <c r="L28" s="49"/>
      <c r="M28" s="6"/>
      <c r="N28" s="6"/>
      <c r="O28" s="6"/>
      <c r="P28" s="6"/>
    </row>
    <row r="29" spans="1:16" ht="17.5" customHeight="1">
      <c r="A29" s="22">
        <v>1808</v>
      </c>
      <c r="B29" s="69">
        <f>'E10 - GDP, 1790-1909'!I29</f>
        <v>11.439429394375878</v>
      </c>
      <c r="C29" s="137">
        <f t="shared" si="0"/>
        <v>0.65305516962899435</v>
      </c>
      <c r="D29" s="137">
        <f>'E10 - GDP, 1790-1909'!E29</f>
        <v>5.7088089546674823</v>
      </c>
      <c r="E29" s="43">
        <v>6838</v>
      </c>
      <c r="F29" s="177">
        <f t="shared" si="1"/>
        <v>1672.9203560070016</v>
      </c>
      <c r="G29" s="177">
        <f t="shared" si="2"/>
        <v>95.503827088182845</v>
      </c>
      <c r="H29" s="6"/>
      <c r="I29" s="49"/>
      <c r="J29" s="49"/>
      <c r="K29" s="49"/>
      <c r="L29" s="49"/>
      <c r="M29" s="6"/>
      <c r="N29" s="6"/>
      <c r="O29" s="6"/>
      <c r="P29" s="6"/>
    </row>
    <row r="30" spans="1:16" ht="17.5" customHeight="1">
      <c r="A30" s="22">
        <v>1809</v>
      </c>
      <c r="B30" s="69">
        <f>'E10 - GDP, 1790-1909'!I30</f>
        <v>12.314508197188553</v>
      </c>
      <c r="C30" s="137">
        <f t="shared" si="0"/>
        <v>0.69422541255012959</v>
      </c>
      <c r="D30" s="137">
        <f>'E10 - GDP, 1790-1909'!E30</f>
        <v>5.6374595025128471</v>
      </c>
      <c r="E30" s="43">
        <v>7031</v>
      </c>
      <c r="F30" s="177">
        <f t="shared" si="1"/>
        <v>1751.4589954755445</v>
      </c>
      <c r="G30" s="177">
        <f t="shared" si="2"/>
        <v>98.737791573052135</v>
      </c>
      <c r="H30" s="6"/>
      <c r="I30" s="49"/>
      <c r="J30" s="49"/>
      <c r="K30" s="49"/>
      <c r="L30" s="49"/>
      <c r="M30" s="6"/>
      <c r="N30" s="6"/>
      <c r="O30" s="6"/>
      <c r="P30" s="6"/>
    </row>
    <row r="31" spans="1:16" ht="17.5" customHeight="1">
      <c r="A31" s="22">
        <v>1810</v>
      </c>
      <c r="B31" s="69">
        <f>'E10 - GDP, 1790-1909'!I31</f>
        <v>12.996809649578864</v>
      </c>
      <c r="C31" s="137">
        <f t="shared" si="0"/>
        <v>0.7138991119459176</v>
      </c>
      <c r="D31" s="137">
        <f>'E10 - GDP, 1790-1909'!E31</f>
        <v>5.4928796465758047</v>
      </c>
      <c r="E31" s="43">
        <v>7224</v>
      </c>
      <c r="F31" s="177">
        <f t="shared" si="1"/>
        <v>1799.1153999970743</v>
      </c>
      <c r="G31" s="177">
        <f t="shared" si="2"/>
        <v>98.823243624850164</v>
      </c>
      <c r="H31" s="6"/>
      <c r="I31" s="49"/>
      <c r="J31" s="49"/>
      <c r="K31" s="49"/>
      <c r="L31" s="49"/>
      <c r="M31" s="6"/>
      <c r="N31" s="6"/>
      <c r="O31" s="6"/>
      <c r="P31" s="6"/>
    </row>
    <row r="32" spans="1:16" ht="17.5" customHeight="1">
      <c r="A32" s="22">
        <v>1811</v>
      </c>
      <c r="B32" s="69">
        <f>'E10 - GDP, 1790-1909'!I32</f>
        <v>13.5877101665456</v>
      </c>
      <c r="C32" s="137">
        <f t="shared" si="0"/>
        <v>0.7758136010379304</v>
      </c>
      <c r="D32" s="137">
        <f>'E10 - GDP, 1790-1909'!E32</f>
        <v>5.709671398114355</v>
      </c>
      <c r="E32" s="43">
        <v>7460</v>
      </c>
      <c r="F32" s="177">
        <f t="shared" si="1"/>
        <v>1821.4088695101341</v>
      </c>
      <c r="G32" s="177">
        <f t="shared" si="2"/>
        <v>103.99646126513812</v>
      </c>
      <c r="H32" s="6"/>
      <c r="I32" s="49"/>
      <c r="J32" s="49"/>
      <c r="K32" s="49"/>
      <c r="L32" s="49"/>
      <c r="M32" s="6"/>
      <c r="N32" s="6"/>
      <c r="O32" s="6"/>
      <c r="P32" s="6"/>
    </row>
    <row r="33" spans="1:16" ht="17.5" customHeight="1">
      <c r="A33" s="22">
        <v>1812</v>
      </c>
      <c r="B33" s="69">
        <f>'E10 - GDP, 1790-1909'!I33</f>
        <v>14.129759311568694</v>
      </c>
      <c r="C33" s="137">
        <f t="shared" si="0"/>
        <v>0.79488984002321328</v>
      </c>
      <c r="D33" s="137">
        <f>'E10 - GDP, 1790-1909'!E33</f>
        <v>5.6256431726505056</v>
      </c>
      <c r="E33" s="43">
        <v>7700</v>
      </c>
      <c r="F33" s="177">
        <f t="shared" si="1"/>
        <v>1835.0336768271031</v>
      </c>
      <c r="G33" s="177">
        <f t="shared" si="2"/>
        <v>103.23244675626147</v>
      </c>
      <c r="H33" s="6"/>
      <c r="I33" s="49"/>
      <c r="J33" s="49"/>
      <c r="K33" s="49"/>
      <c r="L33" s="49"/>
      <c r="M33" s="6"/>
      <c r="N33" s="6"/>
      <c r="O33" s="6"/>
      <c r="P33" s="6"/>
    </row>
    <row r="34" spans="1:16" ht="17.5" customHeight="1">
      <c r="A34" s="22">
        <v>1813</v>
      </c>
      <c r="B34" s="69">
        <f>'E10 - GDP, 1790-1909'!I34</f>
        <v>14.933880390887074</v>
      </c>
      <c r="C34" s="137">
        <f t="shared" si="0"/>
        <v>0.98014174465316317</v>
      </c>
      <c r="D34" s="137">
        <f>'E10 - GDP, 1790-1909'!E34</f>
        <v>6.5632087508298484</v>
      </c>
      <c r="E34" s="43">
        <v>7939</v>
      </c>
      <c r="F34" s="177">
        <f t="shared" si="1"/>
        <v>1881.0782706747796</v>
      </c>
      <c r="G34" s="177">
        <f t="shared" si="2"/>
        <v>123.45909367088591</v>
      </c>
      <c r="H34" s="6"/>
      <c r="I34" s="49"/>
      <c r="J34" s="49"/>
      <c r="K34" s="49"/>
      <c r="L34" s="49"/>
      <c r="M34" s="6"/>
      <c r="N34" s="6"/>
      <c r="O34" s="6"/>
      <c r="P34" s="6"/>
    </row>
    <row r="35" spans="1:16" ht="17.5" customHeight="1">
      <c r="A35" s="22">
        <v>1814</v>
      </c>
      <c r="B35" s="69">
        <f>'E10 - GDP, 1790-1909'!I35</f>
        <v>15.558711209682256</v>
      </c>
      <c r="C35" s="137">
        <f t="shared" si="0"/>
        <v>1.0901318311782837</v>
      </c>
      <c r="D35" s="137">
        <f>'E10 - GDP, 1790-1909'!E35</f>
        <v>7.0065689663285839</v>
      </c>
      <c r="E35" s="43">
        <v>8179</v>
      </c>
      <c r="F35" s="177">
        <f t="shared" si="1"/>
        <v>1902.2754871845282</v>
      </c>
      <c r="G35" s="177">
        <f t="shared" si="2"/>
        <v>133.28424393914705</v>
      </c>
      <c r="H35" s="6"/>
      <c r="I35" s="49"/>
      <c r="J35" s="49"/>
      <c r="K35" s="49"/>
      <c r="L35" s="49"/>
      <c r="M35" s="6"/>
      <c r="N35" s="6"/>
      <c r="O35" s="6"/>
      <c r="P35" s="6"/>
    </row>
    <row r="36" spans="1:16" ht="17.5" customHeight="1">
      <c r="A36" s="22">
        <v>1815</v>
      </c>
      <c r="B36" s="69">
        <f>'E10 - GDP, 1790-1909'!I36</f>
        <v>15.683816294637005</v>
      </c>
      <c r="C36" s="137">
        <f t="shared" si="0"/>
        <v>0.93514369754171522</v>
      </c>
      <c r="D36" s="137">
        <f>'E10 - GDP, 1790-1909'!E36</f>
        <v>5.9624754586132367</v>
      </c>
      <c r="E36" s="43">
        <v>8419</v>
      </c>
      <c r="F36" s="177">
        <f t="shared" si="1"/>
        <v>1862.9072686348741</v>
      </c>
      <c r="G36" s="177">
        <f t="shared" si="2"/>
        <v>111.07538870907652</v>
      </c>
      <c r="H36" s="6"/>
      <c r="I36" s="49"/>
      <c r="J36" s="49"/>
      <c r="K36" s="49"/>
      <c r="L36" s="49"/>
      <c r="M36" s="6"/>
      <c r="N36" s="6"/>
      <c r="O36" s="6"/>
      <c r="P36" s="6"/>
    </row>
    <row r="37" spans="1:16" ht="17.5" customHeight="1">
      <c r="A37" s="22">
        <v>1816</v>
      </c>
      <c r="B37" s="69">
        <f>'E10 - GDP, 1790-1909'!I37</f>
        <v>15.682903376247596</v>
      </c>
      <c r="C37" s="137">
        <f t="shared" si="0"/>
        <v>0.82832505878138463</v>
      </c>
      <c r="D37" s="137">
        <f>'E10 - GDP, 1790-1909'!E37</f>
        <v>5.2817073402104677</v>
      </c>
      <c r="E37" s="43">
        <v>8659</v>
      </c>
      <c r="F37" s="177">
        <f t="shared" si="1"/>
        <v>1811.1679612250371</v>
      </c>
      <c r="G37" s="177">
        <f t="shared" si="2"/>
        <v>95.660591151563068</v>
      </c>
      <c r="H37" s="6"/>
      <c r="I37" s="49"/>
      <c r="J37" s="49"/>
      <c r="K37" s="49"/>
      <c r="L37" s="49"/>
      <c r="M37" s="6"/>
      <c r="N37" s="6"/>
      <c r="O37" s="6"/>
      <c r="P37" s="6"/>
    </row>
    <row r="38" spans="1:16" ht="17.5" customHeight="1">
      <c r="A38" s="22">
        <v>1817</v>
      </c>
      <c r="B38" s="69">
        <f>'E10 - GDP, 1790-1909'!I38</f>
        <v>16.047234752441472</v>
      </c>
      <c r="C38" s="137">
        <f t="shared" si="0"/>
        <v>0.77734898307717204</v>
      </c>
      <c r="D38" s="137">
        <f>'E10 - GDP, 1790-1909'!E38</f>
        <v>4.8441304378556804</v>
      </c>
      <c r="E38" s="43">
        <v>8899</v>
      </c>
      <c r="F38" s="177">
        <f t="shared" si="1"/>
        <v>1803.2626983303148</v>
      </c>
      <c r="G38" s="177">
        <f t="shared" si="2"/>
        <v>87.35239724431645</v>
      </c>
      <c r="H38" s="6"/>
      <c r="I38" s="49"/>
      <c r="J38" s="49"/>
      <c r="K38" s="49"/>
      <c r="L38" s="49"/>
      <c r="M38" s="6"/>
      <c r="N38" s="6"/>
      <c r="O38" s="6"/>
      <c r="P38" s="6"/>
    </row>
    <row r="39" spans="1:16" ht="17.5" customHeight="1">
      <c r="A39" s="22">
        <v>1818</v>
      </c>
      <c r="B39" s="69">
        <f>'E10 - GDP, 1790-1909'!I39</f>
        <v>16.630007888449622</v>
      </c>
      <c r="C39" s="137">
        <f t="shared" si="0"/>
        <v>0.74547925407574345</v>
      </c>
      <c r="D39" s="137">
        <f>'E10 - GDP, 1790-1909'!E39</f>
        <v>4.4827354206699823</v>
      </c>
      <c r="E39" s="43">
        <v>9139</v>
      </c>
      <c r="F39" s="177">
        <f t="shared" si="1"/>
        <v>1819.6747881004073</v>
      </c>
      <c r="G39" s="177">
        <f t="shared" si="2"/>
        <v>81.571206267178411</v>
      </c>
      <c r="H39" s="6"/>
      <c r="I39" s="49"/>
      <c r="J39" s="49"/>
      <c r="K39" s="49"/>
      <c r="L39" s="49"/>
      <c r="M39" s="6"/>
      <c r="N39" s="6"/>
      <c r="O39" s="6"/>
      <c r="P39" s="6"/>
    </row>
    <row r="40" spans="1:16" ht="17.5" customHeight="1">
      <c r="A40" s="22">
        <v>1819</v>
      </c>
      <c r="B40" s="69">
        <f>'E10 - GDP, 1790-1909'!I40</f>
        <v>16.951904724382182</v>
      </c>
      <c r="C40" s="137">
        <f t="shared" si="0"/>
        <v>0.73457199004019091</v>
      </c>
      <c r="D40" s="137">
        <f>'E10 - GDP, 1790-1909'!E40</f>
        <v>4.3332711101404717</v>
      </c>
      <c r="E40" s="43">
        <v>9379</v>
      </c>
      <c r="F40" s="177">
        <f t="shared" si="1"/>
        <v>1807.431999614264</v>
      </c>
      <c r="G40" s="177">
        <f t="shared" si="2"/>
        <v>78.320928674719156</v>
      </c>
      <c r="H40" s="6"/>
      <c r="I40" s="49"/>
      <c r="J40" s="49"/>
      <c r="K40" s="49"/>
      <c r="L40" s="49"/>
      <c r="M40" s="6"/>
      <c r="N40" s="6"/>
      <c r="O40" s="6"/>
      <c r="P40" s="6"/>
    </row>
    <row r="41" spans="1:16" ht="17.5" customHeight="1">
      <c r="A41" s="22">
        <v>1820</v>
      </c>
      <c r="B41" s="69">
        <f>'E10 - GDP, 1790-1909'!I41</f>
        <v>17.629479083752038</v>
      </c>
      <c r="C41" s="137">
        <f t="shared" si="0"/>
        <v>0.71765041300491816</v>
      </c>
      <c r="D41" s="137">
        <f>'E10 - GDP, 1790-1909'!E41</f>
        <v>4.0707408857379717</v>
      </c>
      <c r="E41" s="43">
        <v>9618</v>
      </c>
      <c r="F41" s="177">
        <f t="shared" si="1"/>
        <v>1832.9672576161404</v>
      </c>
      <c r="G41" s="177">
        <f t="shared" si="2"/>
        <v>74.615347577970283</v>
      </c>
      <c r="H41" s="6"/>
      <c r="I41" s="49"/>
      <c r="J41" s="49"/>
      <c r="K41" s="49"/>
      <c r="L41" s="49"/>
      <c r="M41" s="6"/>
      <c r="N41" s="6"/>
      <c r="O41" s="6"/>
      <c r="P41" s="6"/>
    </row>
    <row r="42" spans="1:16" ht="17.5" customHeight="1">
      <c r="A42" s="22">
        <v>1821</v>
      </c>
      <c r="B42" s="69">
        <f>'E10 - GDP, 1790-1909'!I42</f>
        <v>18.548429380886933</v>
      </c>
      <c r="C42" s="137">
        <f t="shared" si="0"/>
        <v>0.7421189872688646</v>
      </c>
      <c r="D42" s="137">
        <f>'E10 - GDP, 1790-1909'!E42</f>
        <v>4.0009802017715561</v>
      </c>
      <c r="E42" s="43">
        <v>9939</v>
      </c>
      <c r="F42" s="177">
        <f t="shared" si="1"/>
        <v>1866.2269223148137</v>
      </c>
      <c r="G42" s="177">
        <f t="shared" si="2"/>
        <v>74.667369681946326</v>
      </c>
      <c r="H42" s="6"/>
      <c r="I42" s="49"/>
      <c r="J42" s="49"/>
      <c r="K42" s="49"/>
      <c r="L42" s="49"/>
      <c r="M42" s="6"/>
      <c r="N42" s="6"/>
      <c r="O42" s="6"/>
      <c r="P42" s="6"/>
    </row>
    <row r="43" spans="1:16" ht="17.5" customHeight="1">
      <c r="A43" s="22">
        <v>1822</v>
      </c>
      <c r="B43" s="69">
        <f>'E10 - GDP, 1790-1909'!I43</f>
        <v>19.305994062406967</v>
      </c>
      <c r="C43" s="137">
        <f t="shared" ref="C43:C74" si="3">B43*D43/100</f>
        <v>0.81575725670176835</v>
      </c>
      <c r="D43" s="137">
        <f>'E10 - GDP, 1790-1909'!E43</f>
        <v>4.2254092385236346</v>
      </c>
      <c r="E43" s="43">
        <v>10268</v>
      </c>
      <c r="F43" s="177">
        <f t="shared" si="1"/>
        <v>1880.2097840287267</v>
      </c>
      <c r="G43" s="177">
        <f t="shared" si="2"/>
        <v>79.446557917975099</v>
      </c>
      <c r="H43" s="6"/>
      <c r="I43" s="49"/>
      <c r="J43" s="49"/>
      <c r="K43" s="49"/>
      <c r="L43" s="49"/>
      <c r="M43" s="6"/>
      <c r="N43" s="6"/>
      <c r="O43" s="6"/>
      <c r="P43" s="6"/>
    </row>
    <row r="44" spans="1:16" ht="17.5" customHeight="1">
      <c r="A44" s="22">
        <v>1823</v>
      </c>
      <c r="B44" s="69">
        <f>'E10 - GDP, 1790-1909'!I44</f>
        <v>19.939165124328238</v>
      </c>
      <c r="C44" s="137">
        <f t="shared" si="3"/>
        <v>0.76666184688950778</v>
      </c>
      <c r="D44" s="137">
        <f>'E10 - GDP, 1790-1909'!E44</f>
        <v>3.8450047537551404</v>
      </c>
      <c r="E44" s="43">
        <v>10596</v>
      </c>
      <c r="F44" s="177">
        <f t="shared" si="1"/>
        <v>1881.76341301701</v>
      </c>
      <c r="G44" s="177">
        <f t="shared" si="2"/>
        <v>72.353892684929008</v>
      </c>
      <c r="H44" s="6"/>
      <c r="I44" s="49"/>
      <c r="J44" s="49"/>
      <c r="K44" s="49"/>
      <c r="L44" s="49"/>
      <c r="M44" s="6"/>
      <c r="N44" s="6"/>
      <c r="O44" s="6"/>
      <c r="P44" s="6"/>
    </row>
    <row r="45" spans="1:16" ht="17.5" customHeight="1">
      <c r="A45" s="22">
        <v>1824</v>
      </c>
      <c r="B45" s="69">
        <f>'E10 - GDP, 1790-1909'!I45</f>
        <v>21.135502993511277</v>
      </c>
      <c r="C45" s="137">
        <f t="shared" si="3"/>
        <v>0.76161110588509262</v>
      </c>
      <c r="D45" s="137">
        <f>'E10 - GDP, 1790-1909'!E45</f>
        <v>3.6034680893041044</v>
      </c>
      <c r="E45" s="43">
        <v>10924</v>
      </c>
      <c r="F45" s="177">
        <f t="shared" si="1"/>
        <v>1934.7769126246135</v>
      </c>
      <c r="G45" s="177">
        <f t="shared" si="2"/>
        <v>69.719068645651092</v>
      </c>
      <c r="H45" s="6"/>
      <c r="I45" s="49"/>
      <c r="J45" s="49"/>
      <c r="K45" s="49"/>
      <c r="L45" s="49"/>
      <c r="M45" s="6"/>
      <c r="N45" s="6"/>
      <c r="O45" s="6"/>
      <c r="P45" s="6"/>
    </row>
    <row r="46" spans="1:16" ht="17.5" customHeight="1">
      <c r="A46" s="22">
        <v>1825</v>
      </c>
      <c r="B46" s="69">
        <f>'E10 - GDP, 1790-1909'!I46</f>
        <v>22.12255083597362</v>
      </c>
      <c r="C46" s="137">
        <f t="shared" si="3"/>
        <v>0.83223467325638523</v>
      </c>
      <c r="D46" s="137">
        <f>'E10 - GDP, 1790-1909'!E46</f>
        <v>3.7619290805429326</v>
      </c>
      <c r="E46" s="43">
        <v>11252</v>
      </c>
      <c r="F46" s="177">
        <f t="shared" si="1"/>
        <v>1966.0994344093156</v>
      </c>
      <c r="G46" s="177">
        <f t="shared" si="2"/>
        <v>73.963266375434173</v>
      </c>
      <c r="H46" s="6"/>
      <c r="I46" s="49"/>
      <c r="J46" s="49"/>
      <c r="K46" s="49"/>
      <c r="L46" s="49"/>
      <c r="M46" s="6"/>
      <c r="N46" s="6"/>
      <c r="O46" s="6"/>
      <c r="P46" s="6"/>
    </row>
    <row r="47" spans="1:16" ht="17.5" customHeight="1">
      <c r="A47" s="22">
        <v>1826</v>
      </c>
      <c r="B47" s="69">
        <f>'E10 - GDP, 1790-1909'!I47</f>
        <v>22.890908538186931</v>
      </c>
      <c r="C47" s="137">
        <f t="shared" si="3"/>
        <v>0.87608014917537846</v>
      </c>
      <c r="D47" s="137">
        <f>'E10 - GDP, 1790-1909'!E47</f>
        <v>3.8271969315411374</v>
      </c>
      <c r="E47" s="43">
        <v>11580</v>
      </c>
      <c r="F47" s="177">
        <f t="shared" si="1"/>
        <v>1976.7623953529301</v>
      </c>
      <c r="G47" s="177">
        <f t="shared" si="2"/>
        <v>75.654589738806436</v>
      </c>
      <c r="H47" s="6"/>
      <c r="I47" s="49"/>
      <c r="J47" s="49"/>
      <c r="K47" s="49"/>
      <c r="L47" s="49"/>
      <c r="M47" s="6"/>
      <c r="N47" s="6"/>
      <c r="O47" s="6"/>
      <c r="P47" s="6"/>
    </row>
    <row r="48" spans="1:16" ht="17.5" customHeight="1">
      <c r="A48" s="22">
        <v>1827</v>
      </c>
      <c r="B48" s="69">
        <f>'E10 - GDP, 1790-1909'!I48</f>
        <v>23.575954799689562</v>
      </c>
      <c r="C48" s="137">
        <f t="shared" si="3"/>
        <v>0.92539738258014481</v>
      </c>
      <c r="D48" s="137">
        <f>'E10 - GDP, 1790-1909'!E48</f>
        <v>3.9251745706279095</v>
      </c>
      <c r="E48" s="43">
        <v>11909</v>
      </c>
      <c r="F48" s="177">
        <f t="shared" si="1"/>
        <v>1979.6754387177398</v>
      </c>
      <c r="G48" s="177">
        <f t="shared" si="2"/>
        <v>77.705716901515217</v>
      </c>
      <c r="H48" s="6"/>
      <c r="I48" s="49"/>
      <c r="J48" s="49"/>
      <c r="K48" s="49"/>
      <c r="L48" s="49"/>
      <c r="M48" s="6"/>
      <c r="N48" s="6"/>
      <c r="O48" s="6"/>
      <c r="P48" s="6"/>
    </row>
    <row r="49" spans="1:16" ht="17.5" customHeight="1">
      <c r="A49" s="22">
        <v>1828</v>
      </c>
      <c r="B49" s="69">
        <f>'E10 - GDP, 1790-1909'!I49</f>
        <v>23.917905796167265</v>
      </c>
      <c r="C49" s="137">
        <f t="shared" si="3"/>
        <v>0.90683336955226568</v>
      </c>
      <c r="D49" s="137">
        <f>'E10 - GDP, 1790-1909'!E49</f>
        <v>3.7914413464141226</v>
      </c>
      <c r="E49" s="43">
        <v>12237</v>
      </c>
      <c r="F49" s="177">
        <f t="shared" si="1"/>
        <v>1954.5563288524363</v>
      </c>
      <c r="G49" s="177">
        <f t="shared" si="2"/>
        <v>74.105856791065264</v>
      </c>
      <c r="H49" s="6"/>
      <c r="I49" s="49"/>
      <c r="J49" s="49"/>
      <c r="K49" s="49"/>
      <c r="L49" s="49"/>
      <c r="M49" s="6"/>
      <c r="N49" s="6"/>
      <c r="O49" s="6"/>
      <c r="P49" s="6"/>
    </row>
    <row r="50" spans="1:16" ht="17.5" customHeight="1">
      <c r="A50" s="22">
        <v>1829</v>
      </c>
      <c r="B50" s="69">
        <f>'E10 - GDP, 1790-1909'!I50</f>
        <v>24.823539526569597</v>
      </c>
      <c r="C50" s="137">
        <f t="shared" si="3"/>
        <v>0.93990693217206522</v>
      </c>
      <c r="D50" s="137">
        <f>'E10 - GDP, 1790-1909'!E50</f>
        <v>3.7863533972101213</v>
      </c>
      <c r="E50" s="43">
        <v>12565</v>
      </c>
      <c r="F50" s="177">
        <f t="shared" si="1"/>
        <v>1975.609990176649</v>
      </c>
      <c r="G50" s="177">
        <f t="shared" si="2"/>
        <v>74.803575978676093</v>
      </c>
      <c r="H50" s="6"/>
      <c r="I50" s="49"/>
      <c r="J50" s="49"/>
      <c r="K50" s="49"/>
      <c r="L50" s="49"/>
      <c r="M50" s="6"/>
      <c r="N50" s="6"/>
      <c r="O50" s="6"/>
      <c r="P50" s="6"/>
    </row>
    <row r="51" spans="1:16" ht="17.5" customHeight="1">
      <c r="A51" s="22">
        <v>1830</v>
      </c>
      <c r="B51" s="69">
        <f>'E10 - GDP, 1790-1909'!I51</f>
        <v>27.089767030605085</v>
      </c>
      <c r="C51" s="137">
        <f t="shared" si="3"/>
        <v>1.0323991513697031</v>
      </c>
      <c r="D51" s="137">
        <f>'E10 - GDP, 1790-1909'!E51</f>
        <v>3.8110300107170874</v>
      </c>
      <c r="E51" s="43">
        <v>12901</v>
      </c>
      <c r="F51" s="177">
        <f t="shared" si="1"/>
        <v>2099.8191636776287</v>
      </c>
      <c r="G51" s="177">
        <f t="shared" si="2"/>
        <v>80.024738498542987</v>
      </c>
      <c r="H51" s="6"/>
      <c r="I51" s="49"/>
      <c r="J51" s="49"/>
      <c r="K51" s="49"/>
      <c r="L51" s="49"/>
      <c r="M51" s="6"/>
      <c r="N51" s="6"/>
      <c r="O51" s="6"/>
      <c r="P51" s="6"/>
    </row>
    <row r="52" spans="1:16" ht="17.5" customHeight="1">
      <c r="A52" s="22">
        <v>1831</v>
      </c>
      <c r="B52" s="69">
        <f>'E10 - GDP, 1790-1909'!I52</f>
        <v>29.362213763050882</v>
      </c>
      <c r="C52" s="137">
        <f t="shared" si="3"/>
        <v>1.0645241197965818</v>
      </c>
      <c r="D52" s="137">
        <f>'E10 - GDP, 1790-1909'!E52</f>
        <v>3.6254899865083345</v>
      </c>
      <c r="E52" s="43">
        <v>13321</v>
      </c>
      <c r="F52" s="177">
        <f t="shared" si="1"/>
        <v>2204.2049217814642</v>
      </c>
      <c r="G52" s="177">
        <f t="shared" si="2"/>
        <v>79.913228721310844</v>
      </c>
      <c r="H52" s="6"/>
      <c r="I52" s="49"/>
      <c r="J52" s="49"/>
      <c r="K52" s="49"/>
      <c r="L52" s="49"/>
      <c r="M52" s="6"/>
      <c r="N52" s="6"/>
      <c r="O52" s="6"/>
      <c r="P52" s="6"/>
    </row>
    <row r="53" spans="1:16" ht="17.5" customHeight="1">
      <c r="A53" s="22">
        <v>1832</v>
      </c>
      <c r="B53" s="69">
        <f>'E10 - GDP, 1790-1909'!I53</f>
        <v>31.344778008458995</v>
      </c>
      <c r="C53" s="137">
        <f t="shared" si="3"/>
        <v>1.1424851336435431</v>
      </c>
      <c r="D53" s="137">
        <f>'E10 - GDP, 1790-1909'!E53</f>
        <v>3.6448978306218067</v>
      </c>
      <c r="E53" s="43">
        <v>13742</v>
      </c>
      <c r="F53" s="177">
        <f t="shared" si="1"/>
        <v>2280.9473154168968</v>
      </c>
      <c r="G53" s="177">
        <f t="shared" si="2"/>
        <v>83.138199217256812</v>
      </c>
      <c r="H53" s="6"/>
      <c r="I53" s="49"/>
      <c r="J53" s="49"/>
      <c r="K53" s="49"/>
      <c r="L53" s="49"/>
      <c r="M53" s="6"/>
      <c r="N53" s="6"/>
      <c r="O53" s="6"/>
      <c r="P53" s="6"/>
    </row>
    <row r="54" spans="1:16" ht="17.5" customHeight="1">
      <c r="A54" s="22">
        <v>1833</v>
      </c>
      <c r="B54" s="69">
        <f>'E10 - GDP, 1790-1909'!I54</f>
        <v>32.315249977773142</v>
      </c>
      <c r="C54" s="137">
        <f t="shared" si="3"/>
        <v>1.17218324087822</v>
      </c>
      <c r="D54" s="137">
        <f>'E10 - GDP, 1790-1909'!E54</f>
        <v>3.6273376863383797</v>
      </c>
      <c r="E54" s="43">
        <v>14162</v>
      </c>
      <c r="F54" s="177">
        <f t="shared" si="1"/>
        <v>2281.8281300503559</v>
      </c>
      <c r="G54" s="177">
        <f t="shared" si="2"/>
        <v>82.769611698786903</v>
      </c>
      <c r="H54" s="6"/>
      <c r="I54" s="49"/>
      <c r="J54" s="49"/>
      <c r="K54" s="49"/>
      <c r="L54" s="49"/>
      <c r="M54" s="6"/>
      <c r="N54" s="6"/>
      <c r="O54" s="6"/>
      <c r="P54" s="6"/>
    </row>
    <row r="55" spans="1:16" ht="17.5" customHeight="1">
      <c r="A55" s="22">
        <v>1834</v>
      </c>
      <c r="B55" s="69">
        <f>'E10 - GDP, 1790-1909'!I55</f>
        <v>32.851361890639261</v>
      </c>
      <c r="C55" s="137">
        <f t="shared" si="3"/>
        <v>1.2330543443948045</v>
      </c>
      <c r="D55" s="137">
        <f>'E10 - GDP, 1790-1909'!E55</f>
        <v>3.7534344801277593</v>
      </c>
      <c r="E55" s="43">
        <v>14582</v>
      </c>
      <c r="F55" s="177">
        <f t="shared" si="1"/>
        <v>2252.8707921162572</v>
      </c>
      <c r="G55" s="177">
        <f t="shared" si="2"/>
        <v>84.560029104018966</v>
      </c>
      <c r="H55" s="6"/>
      <c r="I55" s="49"/>
      <c r="J55" s="49"/>
      <c r="K55" s="49"/>
      <c r="L55" s="49"/>
      <c r="M55" s="6"/>
      <c r="N55" s="6"/>
      <c r="O55" s="6"/>
      <c r="P55" s="6"/>
    </row>
    <row r="56" spans="1:16" ht="17.5" customHeight="1">
      <c r="A56" s="22">
        <v>1835</v>
      </c>
      <c r="B56" s="69">
        <f>'E10 - GDP, 1790-1909'!I56</f>
        <v>34.64522443659537</v>
      </c>
      <c r="C56" s="137">
        <f t="shared" si="3"/>
        <v>1.3576101102788696</v>
      </c>
      <c r="D56" s="137">
        <f>'E10 - GDP, 1790-1909'!E56</f>
        <v>3.9186067700714355</v>
      </c>
      <c r="E56" s="43">
        <v>15003</v>
      </c>
      <c r="F56" s="177">
        <f t="shared" si="1"/>
        <v>2309.2197851493283</v>
      </c>
      <c r="G56" s="177">
        <f t="shared" si="2"/>
        <v>90.489242836690636</v>
      </c>
      <c r="H56" s="6"/>
      <c r="I56" s="49"/>
      <c r="J56" s="49"/>
      <c r="K56" s="49"/>
      <c r="L56" s="49"/>
      <c r="M56" s="6"/>
      <c r="N56" s="6"/>
      <c r="O56" s="6"/>
      <c r="P56" s="6"/>
    </row>
    <row r="57" spans="1:16" ht="17.5" customHeight="1">
      <c r="A57" s="22">
        <v>1836</v>
      </c>
      <c r="B57" s="69">
        <f>'E10 - GDP, 1790-1909'!I57</f>
        <v>35.641270420298547</v>
      </c>
      <c r="C57" s="137">
        <f t="shared" si="3"/>
        <v>1.4967283910005849</v>
      </c>
      <c r="D57" s="137">
        <f>'E10 - GDP, 1790-1909'!E57</f>
        <v>4.1994249176599574</v>
      </c>
      <c r="E57" s="43">
        <v>15423</v>
      </c>
      <c r="F57" s="177">
        <f t="shared" si="1"/>
        <v>2310.9168398040943</v>
      </c>
      <c r="G57" s="177">
        <f t="shared" si="2"/>
        <v>97.045217597133174</v>
      </c>
      <c r="H57" s="6"/>
      <c r="I57" s="49"/>
      <c r="J57" s="49"/>
      <c r="K57" s="49"/>
      <c r="L57" s="49"/>
      <c r="M57" s="6"/>
      <c r="N57" s="6"/>
      <c r="O57" s="6"/>
      <c r="P57" s="6"/>
    </row>
    <row r="58" spans="1:16" ht="17.5" customHeight="1">
      <c r="A58" s="22">
        <v>1837</v>
      </c>
      <c r="B58" s="69">
        <f>'E10 - GDP, 1790-1909'!I58</f>
        <v>36.000564126243667</v>
      </c>
      <c r="C58" s="137">
        <f t="shared" si="3"/>
        <v>1.5741247966318392</v>
      </c>
      <c r="D58" s="137">
        <f>'E10 - GDP, 1790-1909'!E58</f>
        <v>4.3725003616938736</v>
      </c>
      <c r="E58" s="43">
        <v>15843</v>
      </c>
      <c r="F58" s="177">
        <f t="shared" si="1"/>
        <v>2272.3325207500893</v>
      </c>
      <c r="G58" s="177">
        <f t="shared" si="2"/>
        <v>99.35774768868518</v>
      </c>
      <c r="H58" s="6"/>
      <c r="I58" s="49"/>
      <c r="J58" s="49"/>
      <c r="K58" s="49"/>
      <c r="L58" s="49"/>
      <c r="M58" s="6"/>
      <c r="N58" s="6"/>
      <c r="O58" s="6"/>
      <c r="P58" s="6"/>
    </row>
    <row r="59" spans="1:16" ht="17.5" customHeight="1">
      <c r="A59" s="22">
        <v>1838</v>
      </c>
      <c r="B59" s="69">
        <f>'E10 - GDP, 1790-1909'!I59</f>
        <v>37.486002848539833</v>
      </c>
      <c r="C59" s="137">
        <f t="shared" si="3"/>
        <v>1.618437687662684</v>
      </c>
      <c r="D59" s="137">
        <f>'E10 - GDP, 1790-1909'!E59</f>
        <v>4.3174453520741967</v>
      </c>
      <c r="E59" s="43">
        <v>16264</v>
      </c>
      <c r="F59" s="177">
        <f t="shared" si="1"/>
        <v>2304.8452317105161</v>
      </c>
      <c r="G59" s="177">
        <f t="shared" si="2"/>
        <v>99.510433328989436</v>
      </c>
      <c r="H59" s="6"/>
      <c r="I59" s="49"/>
      <c r="J59" s="49"/>
      <c r="K59" s="49"/>
      <c r="L59" s="49"/>
      <c r="M59" s="6"/>
      <c r="N59" s="6"/>
      <c r="O59" s="6"/>
      <c r="P59" s="6"/>
    </row>
    <row r="60" spans="1:16" ht="17.5" customHeight="1">
      <c r="A60" s="22">
        <v>1839</v>
      </c>
      <c r="B60" s="69">
        <f>'E10 - GDP, 1790-1909'!I60</f>
        <v>38.508513910535342</v>
      </c>
      <c r="C60" s="137">
        <f t="shared" si="3"/>
        <v>1.6853080016850941</v>
      </c>
      <c r="D60" s="137">
        <f>'E10 - GDP, 1790-1909'!E60</f>
        <v>4.3764555692813154</v>
      </c>
      <c r="E60" s="43">
        <v>16684</v>
      </c>
      <c r="F60" s="177">
        <f t="shared" si="1"/>
        <v>2308.1103998163117</v>
      </c>
      <c r="G60" s="177">
        <f t="shared" si="2"/>
        <v>101.01342613792221</v>
      </c>
      <c r="H60" s="6"/>
      <c r="I60" s="49"/>
      <c r="J60" s="49"/>
      <c r="K60" s="49"/>
      <c r="L60" s="49"/>
      <c r="M60" s="6"/>
      <c r="N60" s="6"/>
      <c r="O60" s="6"/>
      <c r="P60" s="6"/>
    </row>
    <row r="61" spans="1:16" ht="17.5" customHeight="1">
      <c r="A61" s="22">
        <v>1840</v>
      </c>
      <c r="B61" s="69">
        <f>'E10 - GDP, 1790-1909'!I61</f>
        <v>38.45370394326774</v>
      </c>
      <c r="C61" s="137">
        <f t="shared" si="3"/>
        <v>1.589853539910036</v>
      </c>
      <c r="D61" s="137">
        <f>'E10 - GDP, 1790-1909'!E61</f>
        <v>4.1344613831104784</v>
      </c>
      <c r="E61" s="43">
        <v>17123</v>
      </c>
      <c r="F61" s="177">
        <f t="shared" si="1"/>
        <v>2245.7340386186847</v>
      </c>
      <c r="G61" s="177">
        <f t="shared" si="2"/>
        <v>92.849006594056874</v>
      </c>
      <c r="H61" s="6"/>
      <c r="I61" s="49"/>
      <c r="J61" s="49"/>
      <c r="K61" s="49"/>
      <c r="L61" s="49"/>
      <c r="M61" s="6"/>
      <c r="N61" s="6"/>
      <c r="O61" s="6"/>
      <c r="P61" s="6"/>
    </row>
    <row r="62" spans="1:16" ht="17.5" customHeight="1">
      <c r="A62" s="22">
        <v>1841</v>
      </c>
      <c r="B62" s="69">
        <f>'E10 - GDP, 1790-1909'!I62</f>
        <v>39.530417676214746</v>
      </c>
      <c r="C62" s="137">
        <f t="shared" si="3"/>
        <v>1.6782656782203835</v>
      </c>
      <c r="D62" s="137">
        <f>'E10 - GDP, 1790-1909'!E62</f>
        <v>4.2455045427718501</v>
      </c>
      <c r="E62" s="43">
        <v>17733</v>
      </c>
      <c r="F62" s="177">
        <f t="shared" si="1"/>
        <v>2229.2007937864291</v>
      </c>
      <c r="G62" s="177">
        <f t="shared" si="2"/>
        <v>94.64082096770899</v>
      </c>
      <c r="H62" s="6"/>
      <c r="I62" s="49"/>
      <c r="J62" s="49"/>
      <c r="K62" s="49"/>
      <c r="L62" s="49"/>
      <c r="M62" s="6"/>
      <c r="N62" s="6"/>
      <c r="O62" s="6"/>
      <c r="P62" s="6"/>
    </row>
    <row r="63" spans="1:16" ht="17.5" customHeight="1">
      <c r="A63" s="22">
        <v>1842</v>
      </c>
      <c r="B63" s="69">
        <f>'E10 - GDP, 1790-1909'!I63</f>
        <v>40.865080489432735</v>
      </c>
      <c r="C63" s="137">
        <f t="shared" si="3"/>
        <v>1.6464569732208911</v>
      </c>
      <c r="D63" s="137">
        <f>'E10 - GDP, 1790-1909'!E63</f>
        <v>4.0290070483200129</v>
      </c>
      <c r="E63" s="43">
        <v>18345</v>
      </c>
      <c r="F63" s="177">
        <f t="shared" si="1"/>
        <v>2227.5868350740116</v>
      </c>
      <c r="G63" s="177">
        <f t="shared" si="2"/>
        <v>89.749630592580601</v>
      </c>
      <c r="H63" s="6"/>
      <c r="I63" s="49"/>
      <c r="J63" s="49"/>
      <c r="K63" s="49"/>
      <c r="L63" s="49"/>
      <c r="M63" s="6"/>
      <c r="N63" s="6"/>
      <c r="O63" s="6"/>
      <c r="P63" s="6"/>
    </row>
    <row r="64" spans="1:16" ht="17.5" customHeight="1">
      <c r="A64" s="22">
        <v>1843</v>
      </c>
      <c r="B64" s="69">
        <f>'E10 - GDP, 1790-1909'!I64</f>
        <v>42.886749350985106</v>
      </c>
      <c r="C64" s="137">
        <f t="shared" si="3"/>
        <v>1.5951391375577819</v>
      </c>
      <c r="D64" s="137">
        <f>'E10 - GDP, 1790-1909'!E64</f>
        <v>3.7194218766807552</v>
      </c>
      <c r="E64" s="43">
        <v>18957</v>
      </c>
      <c r="F64" s="177">
        <f t="shared" si="1"/>
        <v>2262.3173155554732</v>
      </c>
      <c r="G64" s="177">
        <f t="shared" si="2"/>
        <v>84.145125154707074</v>
      </c>
      <c r="H64" s="6"/>
      <c r="I64" s="49"/>
      <c r="J64" s="49"/>
      <c r="K64" s="49"/>
      <c r="L64" s="49"/>
      <c r="M64" s="6"/>
      <c r="N64" s="6"/>
      <c r="O64" s="6"/>
      <c r="P64" s="6"/>
    </row>
    <row r="65" spans="1:16" ht="17.5" customHeight="1">
      <c r="A65" s="22">
        <v>1844</v>
      </c>
      <c r="B65" s="69">
        <f>'E10 - GDP, 1790-1909'!I65</f>
        <v>45.550920346212997</v>
      </c>
      <c r="C65" s="137">
        <f t="shared" si="3"/>
        <v>1.7411009153583663</v>
      </c>
      <c r="D65" s="137">
        <f>'E10 - GDP, 1790-1909'!E65</f>
        <v>3.8223177536809474</v>
      </c>
      <c r="E65" s="43">
        <v>19569</v>
      </c>
      <c r="F65" s="177">
        <f t="shared" si="1"/>
        <v>2327.7081274573557</v>
      </c>
      <c r="G65" s="177">
        <f t="shared" si="2"/>
        <v>88.972401009676858</v>
      </c>
      <c r="H65" s="6"/>
      <c r="I65" s="49"/>
      <c r="J65" s="49"/>
      <c r="K65" s="49"/>
      <c r="L65" s="49"/>
      <c r="M65" s="6"/>
      <c r="N65" s="6"/>
      <c r="O65" s="6"/>
      <c r="P65" s="6"/>
    </row>
    <row r="66" spans="1:16" ht="17.5" customHeight="1">
      <c r="A66" s="22">
        <v>1845</v>
      </c>
      <c r="B66" s="69">
        <f>'E10 - GDP, 1790-1909'!I66</f>
        <v>48.370557649575041</v>
      </c>
      <c r="C66" s="137">
        <f t="shared" si="3"/>
        <v>1.899304536440348</v>
      </c>
      <c r="D66" s="137">
        <f>'E10 - GDP, 1790-1909'!E66</f>
        <v>3.9265715111246693</v>
      </c>
      <c r="E66" s="43">
        <v>20182</v>
      </c>
      <c r="F66" s="177">
        <f t="shared" si="1"/>
        <v>2396.7177509451512</v>
      </c>
      <c r="G66" s="177">
        <f t="shared" si="2"/>
        <v>94.108836410680212</v>
      </c>
      <c r="H66" s="6"/>
      <c r="I66" s="49"/>
      <c r="J66" s="49"/>
      <c r="K66" s="49"/>
      <c r="L66" s="49"/>
      <c r="M66" s="6"/>
      <c r="N66" s="6"/>
      <c r="O66" s="6"/>
      <c r="P66" s="6"/>
    </row>
    <row r="67" spans="1:16" ht="17.5" customHeight="1">
      <c r="A67" s="22">
        <v>1846</v>
      </c>
      <c r="B67" s="69">
        <f>'E10 - GDP, 1790-1909'!I67</f>
        <v>52.406769667809847</v>
      </c>
      <c r="C67" s="137">
        <f t="shared" si="3"/>
        <v>2.1131369354869189</v>
      </c>
      <c r="D67" s="137">
        <f>'E10 - GDP, 1790-1909'!E67</f>
        <v>4.03218314901192</v>
      </c>
      <c r="E67" s="43">
        <v>20794</v>
      </c>
      <c r="F67" s="177">
        <f t="shared" si="1"/>
        <v>2520.2832388097454</v>
      </c>
      <c r="G67" s="177">
        <f t="shared" si="2"/>
        <v>101.62243606265841</v>
      </c>
      <c r="H67" s="6"/>
      <c r="I67" s="49"/>
      <c r="J67" s="49"/>
      <c r="K67" s="49"/>
      <c r="L67" s="49"/>
      <c r="M67" s="6"/>
      <c r="N67" s="6"/>
      <c r="O67" s="6"/>
      <c r="P67" s="6"/>
    </row>
    <row r="68" spans="1:16" ht="17.5" customHeight="1">
      <c r="A68" s="22">
        <v>1847</v>
      </c>
      <c r="B68" s="69">
        <f>'E10 - GDP, 1790-1909'!I68</f>
        <v>56.204205279250687</v>
      </c>
      <c r="C68" s="137">
        <f t="shared" si="3"/>
        <v>2.4764667562958325</v>
      </c>
      <c r="D68" s="137">
        <f>'E10 - GDP, 1790-1909'!E68</f>
        <v>4.4061947749131996</v>
      </c>
      <c r="E68" s="43">
        <v>21406</v>
      </c>
      <c r="F68" s="177">
        <f t="shared" si="1"/>
        <v>2625.6285751308369</v>
      </c>
      <c r="G68" s="177">
        <f t="shared" si="2"/>
        <v>115.69030908604282</v>
      </c>
      <c r="H68" s="6"/>
      <c r="I68" s="49"/>
      <c r="J68" s="49"/>
      <c r="K68" s="49"/>
      <c r="L68" s="49"/>
      <c r="M68" s="6"/>
      <c r="N68" s="6"/>
      <c r="O68" s="6"/>
      <c r="P68" s="6"/>
    </row>
    <row r="69" spans="1:16" ht="17.5" customHeight="1">
      <c r="A69" s="22">
        <v>1848</v>
      </c>
      <c r="B69" s="69">
        <f>'E10 - GDP, 1790-1909'!I69</f>
        <v>58.148291503750379</v>
      </c>
      <c r="C69" s="137">
        <f t="shared" si="3"/>
        <v>2.4961119530733398</v>
      </c>
      <c r="D69" s="137">
        <f>'E10 - GDP, 1790-1909'!E69</f>
        <v>4.2926660242671932</v>
      </c>
      <c r="E69" s="43">
        <v>22018</v>
      </c>
      <c r="F69" s="177">
        <f t="shared" si="1"/>
        <v>2640.9433873989633</v>
      </c>
      <c r="G69" s="177">
        <f t="shared" si="2"/>
        <v>113.36687951100643</v>
      </c>
      <c r="H69" s="6"/>
      <c r="I69" s="49"/>
      <c r="J69" s="49"/>
      <c r="K69" s="49"/>
      <c r="L69" s="49"/>
      <c r="M69" s="6"/>
      <c r="N69" s="6"/>
      <c r="O69" s="6"/>
      <c r="P69" s="6"/>
    </row>
    <row r="70" spans="1:16" ht="17.5" customHeight="1">
      <c r="A70" s="22">
        <v>1849</v>
      </c>
      <c r="B70" s="69">
        <f>'E10 - GDP, 1790-1909'!I70</f>
        <v>58.9604386330221</v>
      </c>
      <c r="C70" s="137">
        <f t="shared" si="3"/>
        <v>2.4878773637993938</v>
      </c>
      <c r="D70" s="137">
        <f>'E10 - GDP, 1790-1909'!E70</f>
        <v>4.2195706502190147</v>
      </c>
      <c r="E70" s="43">
        <v>22631</v>
      </c>
      <c r="F70" s="177">
        <f t="shared" si="1"/>
        <v>2605.2953308745568</v>
      </c>
      <c r="G70" s="177">
        <f t="shared" si="2"/>
        <v>109.93227713310918</v>
      </c>
      <c r="H70" s="6"/>
      <c r="I70" s="49"/>
      <c r="J70" s="49"/>
      <c r="K70" s="49"/>
      <c r="L70" s="49"/>
      <c r="M70" s="6"/>
      <c r="N70" s="6"/>
      <c r="O70" s="6"/>
      <c r="P70" s="6"/>
    </row>
    <row r="71" spans="1:16" ht="17.5" customHeight="1">
      <c r="A71" s="22">
        <v>1850</v>
      </c>
      <c r="B71" s="69">
        <f>'E10 - GDP, 1790-1909'!I71</f>
        <v>61.7106015280729</v>
      </c>
      <c r="C71" s="137">
        <f t="shared" si="3"/>
        <v>2.6555751177582669</v>
      </c>
      <c r="D71" s="137">
        <f>'E10 - GDP, 1790-1909'!E71</f>
        <v>4.3032721315319113</v>
      </c>
      <c r="E71" s="43">
        <v>23261</v>
      </c>
      <c r="F71" s="177">
        <f t="shared" si="1"/>
        <v>2652.9642546783416</v>
      </c>
      <c r="G71" s="177">
        <f t="shared" si="2"/>
        <v>114.16427143107634</v>
      </c>
      <c r="H71" s="6"/>
      <c r="I71" s="49"/>
      <c r="J71" s="49"/>
      <c r="K71" s="49"/>
      <c r="L71" s="49"/>
      <c r="M71" s="6"/>
      <c r="N71" s="6"/>
      <c r="O71" s="6"/>
      <c r="P71" s="6"/>
    </row>
    <row r="72" spans="1:16" ht="17.5" customHeight="1">
      <c r="A72" s="22">
        <v>1851</v>
      </c>
      <c r="B72" s="69">
        <f>'E10 - GDP, 1790-1909'!I72</f>
        <v>66.592898090925303</v>
      </c>
      <c r="C72" s="137">
        <f t="shared" si="3"/>
        <v>2.7994693087615161</v>
      </c>
      <c r="D72" s="137">
        <f>'E10 - GDP, 1790-1909'!E72</f>
        <v>4.2038556498008957</v>
      </c>
      <c r="E72" s="43">
        <v>24086</v>
      </c>
      <c r="F72" s="177">
        <f t="shared" si="1"/>
        <v>2764.7968982365401</v>
      </c>
      <c r="G72" s="177">
        <f t="shared" si="2"/>
        <v>116.22807061203672</v>
      </c>
      <c r="H72" s="6"/>
      <c r="I72" s="49"/>
      <c r="J72" s="49"/>
      <c r="K72" s="49"/>
      <c r="L72" s="49"/>
      <c r="M72" s="6"/>
      <c r="N72" s="6"/>
      <c r="O72" s="6"/>
      <c r="P72" s="6"/>
    </row>
    <row r="73" spans="1:16" ht="17.5" customHeight="1">
      <c r="A73" s="22">
        <v>1852</v>
      </c>
      <c r="B73" s="69">
        <f>'E10 - GDP, 1790-1909'!I73</f>
        <v>74.109363437474457</v>
      </c>
      <c r="C73" s="137">
        <f t="shared" si="3"/>
        <v>3.1434278176249637</v>
      </c>
      <c r="D73" s="137">
        <f>'E10 - GDP, 1790-1909'!E73</f>
        <v>4.2416068251308774</v>
      </c>
      <c r="E73" s="43">
        <v>24911</v>
      </c>
      <c r="F73" s="177">
        <f t="shared" si="1"/>
        <v>2974.9654143741504</v>
      </c>
      <c r="G73" s="177">
        <f t="shared" si="2"/>
        <v>126.18633606137705</v>
      </c>
      <c r="H73" s="6"/>
      <c r="I73" s="49"/>
      <c r="J73" s="49"/>
      <c r="K73" s="49"/>
      <c r="L73" s="49"/>
      <c r="M73" s="6"/>
      <c r="N73" s="6"/>
      <c r="O73" s="6"/>
      <c r="P73" s="6"/>
    </row>
    <row r="74" spans="1:16" ht="17.5" customHeight="1">
      <c r="A74" s="22">
        <v>1853</v>
      </c>
      <c r="B74" s="69">
        <f>'E10 - GDP, 1790-1909'!I74</f>
        <v>79.913694586342402</v>
      </c>
      <c r="C74" s="137">
        <f t="shared" si="3"/>
        <v>3.383277252691971</v>
      </c>
      <c r="D74" s="137">
        <f>'E10 - GDP, 1790-1909'!E74</f>
        <v>4.2336639173108486</v>
      </c>
      <c r="E74" s="43">
        <v>25736</v>
      </c>
      <c r="F74" s="177">
        <f t="shared" si="1"/>
        <v>3105.1326774301524</v>
      </c>
      <c r="G74" s="177">
        <f t="shared" si="2"/>
        <v>131.46088174898861</v>
      </c>
      <c r="H74" s="6"/>
      <c r="I74" s="49"/>
      <c r="J74" s="49"/>
      <c r="K74" s="49"/>
      <c r="L74" s="49"/>
      <c r="M74" s="6"/>
      <c r="N74" s="6"/>
      <c r="O74" s="6"/>
      <c r="P74" s="6"/>
    </row>
    <row r="75" spans="1:16" ht="17.5" customHeight="1">
      <c r="A75" s="22">
        <v>1854</v>
      </c>
      <c r="B75" s="69">
        <f>'E10 - GDP, 1790-1909'!I75</f>
        <v>82.573654675919087</v>
      </c>
      <c r="C75" s="137">
        <f t="shared" ref="C75:C106" si="4">B75*D75/100</f>
        <v>3.7894898889077</v>
      </c>
      <c r="D75" s="137">
        <f>'E10 - GDP, 1790-1909'!E75</f>
        <v>4.5892238920276673</v>
      </c>
      <c r="E75" s="43">
        <v>26561</v>
      </c>
      <c r="F75" s="177">
        <f t="shared" ref="F75:F138" si="5">(B75/E75)*1000000</f>
        <v>3108.830792361699</v>
      </c>
      <c r="G75" s="177">
        <f t="shared" ref="G75:G138" si="6">(C75/E75)*1000000</f>
        <v>142.67120548577614</v>
      </c>
      <c r="H75" s="6"/>
      <c r="I75" s="49"/>
      <c r="J75" s="49"/>
      <c r="K75" s="49"/>
      <c r="L75" s="49"/>
      <c r="M75" s="6"/>
      <c r="N75" s="6"/>
      <c r="O75" s="6"/>
      <c r="P75" s="6"/>
    </row>
    <row r="76" spans="1:16" ht="17.5" customHeight="1">
      <c r="A76" s="22">
        <v>1855</v>
      </c>
      <c r="B76" s="69">
        <f>'E10 - GDP, 1790-1909'!I76</f>
        <v>85.818799558614046</v>
      </c>
      <c r="C76" s="137">
        <f t="shared" si="4"/>
        <v>4.0477767702107244</v>
      </c>
      <c r="D76" s="137">
        <f>'E10 - GDP, 1790-1909'!E76</f>
        <v>4.716655081438307</v>
      </c>
      <c r="E76" s="43">
        <v>27386</v>
      </c>
      <c r="F76" s="177">
        <f t="shared" si="5"/>
        <v>3133.674123954358</v>
      </c>
      <c r="G76" s="177">
        <f t="shared" si="6"/>
        <v>147.80459980321058</v>
      </c>
      <c r="H76" s="6"/>
      <c r="I76" s="49"/>
      <c r="J76" s="49"/>
      <c r="K76" s="49"/>
      <c r="L76" s="49"/>
      <c r="M76" s="6"/>
      <c r="N76" s="6"/>
      <c r="O76" s="6"/>
      <c r="P76" s="6"/>
    </row>
    <row r="77" spans="1:16" ht="17.5" customHeight="1">
      <c r="A77" s="22">
        <v>1856</v>
      </c>
      <c r="B77" s="69">
        <f>'E10 - GDP, 1790-1909'!I77</f>
        <v>88.862058386046783</v>
      </c>
      <c r="C77" s="137">
        <f t="shared" si="4"/>
        <v>4.1029732602949824</v>
      </c>
      <c r="D77" s="137">
        <f>'E10 - GDP, 1790-1909'!E77</f>
        <v>4.6172385997072922</v>
      </c>
      <c r="E77" s="43">
        <v>28212</v>
      </c>
      <c r="F77" s="177">
        <f t="shared" si="5"/>
        <v>3149.7964832711891</v>
      </c>
      <c r="G77" s="177">
        <f t="shared" si="6"/>
        <v>145.43361903782016</v>
      </c>
      <c r="H77" s="6"/>
      <c r="I77" s="49"/>
      <c r="J77" s="49"/>
      <c r="K77" s="49"/>
      <c r="L77" s="49"/>
      <c r="M77" s="6"/>
      <c r="N77" s="6"/>
      <c r="O77" s="6"/>
      <c r="P77" s="6"/>
    </row>
    <row r="78" spans="1:16" ht="17.5" customHeight="1">
      <c r="A78" s="22">
        <v>1857</v>
      </c>
      <c r="B78" s="69">
        <f>'E10 - GDP, 1790-1909'!I78</f>
        <v>89.385942439788153</v>
      </c>
      <c r="C78" s="137">
        <f t="shared" si="4"/>
        <v>4.2405334098731196</v>
      </c>
      <c r="D78" s="137">
        <f>'E10 - GDP, 1790-1909'!E78</f>
        <v>4.7440719358411556</v>
      </c>
      <c r="E78" s="43">
        <v>29037</v>
      </c>
      <c r="F78" s="177">
        <f t="shared" si="5"/>
        <v>3078.3463319140455</v>
      </c>
      <c r="G78" s="177">
        <f t="shared" si="6"/>
        <v>146.03896442032993</v>
      </c>
      <c r="H78" s="6"/>
      <c r="I78" s="49"/>
      <c r="J78" s="49"/>
      <c r="K78" s="49"/>
      <c r="L78" s="49"/>
      <c r="M78" s="6"/>
      <c r="N78" s="6"/>
      <c r="O78" s="6"/>
      <c r="P78" s="6"/>
    </row>
    <row r="79" spans="1:16" ht="17.5" customHeight="1">
      <c r="A79" s="22">
        <v>1858</v>
      </c>
      <c r="B79" s="69">
        <f>'E10 - GDP, 1790-1909'!I79</f>
        <v>92.974815359437343</v>
      </c>
      <c r="C79" s="137">
        <f t="shared" si="4"/>
        <v>4.1508855094119168</v>
      </c>
      <c r="D79" s="137">
        <f>'E10 - GDP, 1790-1909'!E79</f>
        <v>4.4645267574501117</v>
      </c>
      <c r="E79" s="43">
        <v>29862</v>
      </c>
      <c r="F79" s="177">
        <f t="shared" si="5"/>
        <v>3113.4825316267279</v>
      </c>
      <c r="G79" s="177">
        <f t="shared" si="6"/>
        <v>139.00226071301043</v>
      </c>
      <c r="H79" s="6"/>
      <c r="I79" s="49"/>
      <c r="J79" s="49"/>
      <c r="K79" s="49"/>
      <c r="L79" s="49"/>
      <c r="M79" s="6"/>
      <c r="N79" s="6"/>
      <c r="O79" s="6"/>
      <c r="P79" s="6"/>
    </row>
    <row r="80" spans="1:16" ht="17.5" customHeight="1">
      <c r="A80" s="22">
        <v>1859</v>
      </c>
      <c r="B80" s="69">
        <f>'E10 - GDP, 1790-1909'!I80</f>
        <v>99.416992889929631</v>
      </c>
      <c r="C80" s="137">
        <f t="shared" si="4"/>
        <v>4.4748405968175273</v>
      </c>
      <c r="D80" s="137">
        <f>'E10 - GDP, 1790-1909'!E80</f>
        <v>4.5010822262265417</v>
      </c>
      <c r="E80" s="43">
        <v>30687</v>
      </c>
      <c r="F80" s="177">
        <f t="shared" si="5"/>
        <v>3239.7103949532252</v>
      </c>
      <c r="G80" s="177">
        <f t="shared" si="6"/>
        <v>145.82202876845332</v>
      </c>
      <c r="H80" s="6"/>
      <c r="I80" s="49"/>
      <c r="J80" s="49"/>
      <c r="K80" s="49"/>
      <c r="L80" s="49"/>
      <c r="M80" s="6"/>
      <c r="N80" s="6"/>
      <c r="O80" s="6"/>
      <c r="P80" s="6"/>
    </row>
    <row r="81" spans="1:16" ht="17.5" customHeight="1">
      <c r="A81" s="22">
        <v>1860</v>
      </c>
      <c r="B81" s="69">
        <f>'E10 - GDP, 1790-1909'!I81</f>
        <v>99.831023991356375</v>
      </c>
      <c r="C81" s="137">
        <f t="shared" si="4"/>
        <v>4.4097662968810756</v>
      </c>
      <c r="D81" s="137">
        <f>'E10 - GDP, 1790-1909'!E81</f>
        <v>4.4172303564299655</v>
      </c>
      <c r="E81" s="43">
        <v>31513</v>
      </c>
      <c r="F81" s="177">
        <f t="shared" si="5"/>
        <v>3167.9314565847867</v>
      </c>
      <c r="G81" s="177">
        <f t="shared" si="6"/>
        <v>139.93482997115714</v>
      </c>
      <c r="H81" s="6"/>
      <c r="I81" s="49"/>
      <c r="J81" s="49"/>
      <c r="K81" s="49"/>
      <c r="L81" s="49"/>
      <c r="M81" s="6"/>
      <c r="N81" s="6"/>
      <c r="O81" s="6"/>
      <c r="P81" s="6"/>
    </row>
    <row r="82" spans="1:16" ht="17.5" customHeight="1">
      <c r="A82" s="22">
        <v>1861</v>
      </c>
      <c r="B82" s="69">
        <f>'E10 - GDP, 1790-1909'!I82</f>
        <v>101.73229585229393</v>
      </c>
      <c r="C82" s="137">
        <f t="shared" si="4"/>
        <v>4.6729521477668294</v>
      </c>
      <c r="D82" s="137">
        <f>'E10 - GDP, 1790-1909'!E82</f>
        <v>4.5933811958313928</v>
      </c>
      <c r="E82" s="43">
        <v>32215</v>
      </c>
      <c r="F82" s="177">
        <f t="shared" si="5"/>
        <v>3157.9169906035677</v>
      </c>
      <c r="G82" s="177">
        <f t="shared" si="6"/>
        <v>145.05516522634889</v>
      </c>
      <c r="H82" s="6"/>
      <c r="I82" s="49"/>
      <c r="J82" s="49"/>
      <c r="K82" s="49"/>
      <c r="L82" s="49"/>
      <c r="M82" s="6"/>
      <c r="N82" s="6"/>
      <c r="O82" s="6"/>
      <c r="P82" s="6"/>
    </row>
    <row r="83" spans="1:16" ht="17.5" customHeight="1">
      <c r="A83" s="22">
        <v>1862</v>
      </c>
      <c r="B83" s="69">
        <f>'E10 - GDP, 1790-1909'!I83</f>
        <v>114.38218678193918</v>
      </c>
      <c r="C83" s="137">
        <f t="shared" si="4"/>
        <v>5.8814487813843916</v>
      </c>
      <c r="D83" s="137">
        <f>'E10 - GDP, 1790-1909'!E83</f>
        <v>5.1419272063725447</v>
      </c>
      <c r="E83" s="43">
        <v>32871.794124293789</v>
      </c>
      <c r="F83" s="177">
        <f t="shared" si="5"/>
        <v>3479.6453868456611</v>
      </c>
      <c r="G83" s="177">
        <f t="shared" si="6"/>
        <v>178.92083283150424</v>
      </c>
      <c r="H83" s="6"/>
      <c r="I83" s="49"/>
      <c r="J83" s="49"/>
      <c r="K83" s="49"/>
      <c r="L83" s="49"/>
      <c r="M83" s="6"/>
      <c r="N83" s="6"/>
      <c r="O83" s="6"/>
      <c r="P83" s="6"/>
    </row>
    <row r="84" spans="1:16" ht="17.5" customHeight="1">
      <c r="A84" s="22">
        <v>1863</v>
      </c>
      <c r="B84" s="69">
        <f>'E10 - GDP, 1790-1909'!I84</f>
        <v>123.14078465024757</v>
      </c>
      <c r="C84" s="137">
        <f t="shared" si="4"/>
        <v>7.7457632999186732</v>
      </c>
      <c r="D84" s="137">
        <f>'E10 - GDP, 1790-1909'!E84</f>
        <v>6.2901688680307597</v>
      </c>
      <c r="E84" s="43">
        <v>33327.436953038872</v>
      </c>
      <c r="F84" s="177">
        <f t="shared" si="5"/>
        <v>3694.8771315286913</v>
      </c>
      <c r="G84" s="177">
        <f t="shared" si="6"/>
        <v>232.41401103940566</v>
      </c>
      <c r="H84" s="6"/>
      <c r="I84" s="49"/>
      <c r="J84" s="49"/>
      <c r="K84" s="49"/>
      <c r="L84" s="49"/>
      <c r="M84" s="6"/>
      <c r="N84" s="6"/>
      <c r="O84" s="6"/>
      <c r="P84" s="6"/>
    </row>
    <row r="85" spans="1:16" ht="17.5" customHeight="1">
      <c r="A85" s="22">
        <v>1864</v>
      </c>
      <c r="B85" s="69">
        <f>'E10 - GDP, 1790-1909'!I85</f>
        <v>124.43421166252126</v>
      </c>
      <c r="C85" s="137">
        <f t="shared" si="4"/>
        <v>9.599657984453744</v>
      </c>
      <c r="D85" s="137">
        <f>'E10 - GDP, 1790-1909'!E85</f>
        <v>7.7146452379905224</v>
      </c>
      <c r="E85" s="43">
        <v>33768.002026129128</v>
      </c>
      <c r="F85" s="177">
        <f t="shared" si="5"/>
        <v>3684.9740640928685</v>
      </c>
      <c r="G85" s="177">
        <f t="shared" si="6"/>
        <v>284.28267615672627</v>
      </c>
      <c r="H85" s="6"/>
      <c r="I85" s="49"/>
      <c r="J85" s="49"/>
      <c r="K85" s="49"/>
      <c r="L85" s="49"/>
      <c r="M85" s="6"/>
      <c r="N85" s="6"/>
      <c r="O85" s="6"/>
      <c r="P85" s="6"/>
    </row>
    <row r="86" spans="1:16" ht="17.5" customHeight="1">
      <c r="A86" s="22">
        <v>1865</v>
      </c>
      <c r="B86" s="69">
        <f>'E10 - GDP, 1790-1909'!I86</f>
        <v>127.77342834055261</v>
      </c>
      <c r="C86" s="137">
        <f t="shared" si="4"/>
        <v>10.012355455741885</v>
      </c>
      <c r="D86" s="137">
        <f>'E10 - GDP, 1790-1909'!E86</f>
        <v>7.8360231745962885</v>
      </c>
      <c r="E86" s="43">
        <v>34151.972987349618</v>
      </c>
      <c r="F86" s="177">
        <f t="shared" si="5"/>
        <v>3741.3190853682663</v>
      </c>
      <c r="G86" s="177">
        <f t="shared" si="6"/>
        <v>293.17063056505123</v>
      </c>
      <c r="H86" s="6"/>
      <c r="I86" s="49"/>
      <c r="J86" s="49"/>
      <c r="K86" s="49"/>
      <c r="L86" s="49"/>
      <c r="M86" s="6"/>
      <c r="N86" s="6"/>
      <c r="O86" s="6"/>
      <c r="P86" s="6"/>
    </row>
    <row r="87" spans="1:16" ht="17.5" customHeight="1">
      <c r="A87" s="22">
        <v>1866</v>
      </c>
      <c r="B87" s="69">
        <f>'E10 - GDP, 1790-1909'!I87</f>
        <v>121.69477891417482</v>
      </c>
      <c r="C87" s="137">
        <f t="shared" si="4"/>
        <v>9.0978621852122821</v>
      </c>
      <c r="D87" s="137">
        <f>'E10 - GDP, 1790-1909'!E87</f>
        <v>7.4759675529124747</v>
      </c>
      <c r="E87" s="43">
        <v>34788.937098430702</v>
      </c>
      <c r="F87" s="177">
        <f t="shared" si="5"/>
        <v>3498.0884460440834</v>
      </c>
      <c r="G87" s="177">
        <f t="shared" si="6"/>
        <v>261.5159571984359</v>
      </c>
      <c r="H87" s="6"/>
      <c r="I87" s="49"/>
      <c r="J87" s="49"/>
      <c r="K87" s="49"/>
      <c r="L87" s="49"/>
      <c r="M87" s="6"/>
      <c r="N87" s="6"/>
      <c r="O87" s="6"/>
      <c r="P87" s="6"/>
    </row>
    <row r="88" spans="1:16" ht="17.5" customHeight="1">
      <c r="A88" s="22">
        <v>1867</v>
      </c>
      <c r="B88" s="69">
        <f>'E10 - GDP, 1790-1909'!I88</f>
        <v>124.1641642770999</v>
      </c>
      <c r="C88" s="137">
        <f t="shared" si="4"/>
        <v>8.4653584300240592</v>
      </c>
      <c r="D88" s="137">
        <f>'E10 - GDP, 1790-1909'!E88</f>
        <v>6.8178757367800031</v>
      </c>
      <c r="E88" s="43">
        <v>35595.757962634438</v>
      </c>
      <c r="F88" s="177">
        <f t="shared" si="5"/>
        <v>3488.173068471739</v>
      </c>
      <c r="G88" s="177">
        <f t="shared" si="6"/>
        <v>237.81930529222925</v>
      </c>
      <c r="H88" s="6"/>
      <c r="I88" s="49"/>
      <c r="J88" s="49"/>
      <c r="K88" s="49"/>
      <c r="L88" s="49"/>
      <c r="M88" s="6"/>
      <c r="N88" s="6"/>
      <c r="O88" s="6"/>
      <c r="P88" s="6"/>
    </row>
    <row r="89" spans="1:16" ht="17.5" customHeight="1">
      <c r="A89" s="22">
        <v>1868</v>
      </c>
      <c r="B89" s="69">
        <f>'E10 - GDP, 1790-1909'!I89</f>
        <v>128.948179704382</v>
      </c>
      <c r="C89" s="137">
        <f t="shared" si="4"/>
        <v>8.2608979265309888</v>
      </c>
      <c r="D89" s="137">
        <f>'E10 - GDP, 1790-1909'!E89</f>
        <v>6.4063703306780848</v>
      </c>
      <c r="E89" s="43">
        <v>36499.322091666698</v>
      </c>
      <c r="F89" s="177">
        <f t="shared" si="5"/>
        <v>3532.8924570306654</v>
      </c>
      <c r="G89" s="177">
        <f t="shared" si="6"/>
        <v>226.33017418197656</v>
      </c>
      <c r="H89" s="6"/>
      <c r="I89" s="49"/>
      <c r="J89" s="49"/>
      <c r="K89" s="49"/>
      <c r="L89" s="49"/>
      <c r="M89" s="6"/>
      <c r="N89" s="6"/>
      <c r="O89" s="6"/>
      <c r="P89" s="6"/>
    </row>
    <row r="90" spans="1:16" ht="17.5" customHeight="1">
      <c r="A90" s="22">
        <v>1869</v>
      </c>
      <c r="B90" s="69">
        <f>'E10 - GDP, 1790-1909'!I90</f>
        <v>133.34278273568819</v>
      </c>
      <c r="C90" s="137">
        <f t="shared" si="4"/>
        <v>8.009373169994344</v>
      </c>
      <c r="D90" s="137">
        <f>'E10 - GDP, 1790-1909'!E90</f>
        <v>6.0066041863476842</v>
      </c>
      <c r="E90" s="34">
        <v>37478.604156182824</v>
      </c>
      <c r="F90" s="177">
        <f t="shared" si="5"/>
        <v>3557.8374845555904</v>
      </c>
      <c r="G90" s="177">
        <f t="shared" si="6"/>
        <v>213.70521529076322</v>
      </c>
      <c r="H90" s="6"/>
      <c r="I90" s="49"/>
      <c r="J90" s="49"/>
      <c r="K90" s="49"/>
      <c r="L90" s="49"/>
      <c r="M90" s="6"/>
      <c r="N90" s="6"/>
      <c r="O90" s="6"/>
      <c r="P90" s="6"/>
    </row>
    <row r="91" spans="1:16" ht="17.5" customHeight="1">
      <c r="A91" s="22">
        <v>1870</v>
      </c>
      <c r="B91" s="69">
        <f>'E10 - GDP, 1790-1909'!I91</f>
        <v>137.32341192121115</v>
      </c>
      <c r="C91" s="137">
        <f t="shared" si="4"/>
        <v>7.8991430905892939</v>
      </c>
      <c r="D91" s="137">
        <f>'E10 - GDP, 1790-1909'!E91</f>
        <v>5.7522187805247667</v>
      </c>
      <c r="E91" s="34">
        <v>38558</v>
      </c>
      <c r="F91" s="177">
        <f t="shared" si="5"/>
        <v>3561.4765268222195</v>
      </c>
      <c r="G91" s="177">
        <f t="shared" si="6"/>
        <v>204.86392163984888</v>
      </c>
      <c r="H91" s="6"/>
      <c r="I91" s="49"/>
      <c r="J91" s="49"/>
      <c r="K91" s="49"/>
      <c r="L91" s="49"/>
      <c r="M91" s="6"/>
      <c r="N91" s="6"/>
      <c r="O91" s="6"/>
      <c r="P91" s="6"/>
    </row>
    <row r="92" spans="1:16" ht="17.5" customHeight="1">
      <c r="A92" s="22">
        <v>1871</v>
      </c>
      <c r="B92" s="69">
        <f>'E10 - GDP, 1790-1909'!I92</f>
        <v>143.85607957830919</v>
      </c>
      <c r="C92" s="137">
        <f t="shared" si="4"/>
        <v>7.75053752516959</v>
      </c>
      <c r="D92" s="137">
        <f>'E10 - GDP, 1790-1909'!E92</f>
        <v>5.3877024508724523</v>
      </c>
      <c r="E92" s="34">
        <v>39593.785475149176</v>
      </c>
      <c r="F92" s="177">
        <f t="shared" si="5"/>
        <v>3633.299464851616</v>
      </c>
      <c r="G92" s="177">
        <f t="shared" si="6"/>
        <v>195.75136431534622</v>
      </c>
      <c r="H92" s="6"/>
      <c r="I92" s="49"/>
      <c r="J92" s="49"/>
      <c r="K92" s="49"/>
      <c r="L92" s="49"/>
      <c r="M92" s="6"/>
      <c r="N92" s="6"/>
      <c r="O92" s="6"/>
      <c r="P92" s="6"/>
    </row>
    <row r="93" spans="1:16" ht="17.5" customHeight="1">
      <c r="A93" s="22">
        <v>1872</v>
      </c>
      <c r="B93" s="69">
        <f>'E10 - GDP, 1790-1909'!I93</f>
        <v>155.89401834860152</v>
      </c>
      <c r="C93" s="137">
        <f t="shared" si="4"/>
        <v>8.4020164387963305</v>
      </c>
      <c r="D93" s="137">
        <f>'E10 - GDP, 1790-1909'!E93</f>
        <v>5.3895694830370013</v>
      </c>
      <c r="E93" s="34">
        <v>40657.395307125211</v>
      </c>
      <c r="F93" s="177">
        <f t="shared" si="5"/>
        <v>3834.3336352705578</v>
      </c>
      <c r="G93" s="177">
        <f t="shared" si="6"/>
        <v>206.65407548436525</v>
      </c>
      <c r="H93" s="6"/>
      <c r="I93" s="49"/>
      <c r="J93" s="49"/>
      <c r="K93" s="49"/>
      <c r="L93" s="49"/>
      <c r="M93" s="6"/>
      <c r="N93" s="6"/>
      <c r="O93" s="6"/>
      <c r="P93" s="6"/>
    </row>
    <row r="94" spans="1:16" ht="17.5" customHeight="1">
      <c r="A94" s="22">
        <v>1873</v>
      </c>
      <c r="B94" s="69">
        <f>'E10 - GDP, 1790-1909'!I94</f>
        <v>169.19235448099761</v>
      </c>
      <c r="C94" s="137">
        <f t="shared" si="4"/>
        <v>8.9357371889806601</v>
      </c>
      <c r="D94" s="137">
        <f>'E10 - GDP, 1790-1909'!E94</f>
        <v>5.2814071985647875</v>
      </c>
      <c r="E94" s="34">
        <v>41749.576943011889</v>
      </c>
      <c r="F94" s="177">
        <f t="shared" si="5"/>
        <v>4052.552549501158</v>
      </c>
      <c r="G94" s="177">
        <f t="shared" si="6"/>
        <v>214.03180207497499</v>
      </c>
      <c r="H94" s="6"/>
      <c r="I94" s="49"/>
      <c r="J94" s="49"/>
      <c r="K94" s="49"/>
      <c r="L94" s="49"/>
      <c r="M94" s="6"/>
      <c r="N94" s="6"/>
      <c r="O94" s="6"/>
      <c r="P94" s="6"/>
    </row>
    <row r="95" spans="1:16" ht="17.5" customHeight="1">
      <c r="A95" s="22">
        <v>1874</v>
      </c>
      <c r="B95" s="69">
        <f>'E10 - GDP, 1790-1909'!I95</f>
        <v>172.26987099298029</v>
      </c>
      <c r="C95" s="137">
        <f t="shared" si="4"/>
        <v>8.6589937256674538</v>
      </c>
      <c r="D95" s="137">
        <f>'E10 - GDP, 1790-1909'!E95</f>
        <v>5.0264121495860961</v>
      </c>
      <c r="E95" s="34">
        <v>42871.097908601252</v>
      </c>
      <c r="F95" s="177">
        <f t="shared" si="5"/>
        <v>4018.3218857667202</v>
      </c>
      <c r="G95" s="177">
        <f t="shared" si="6"/>
        <v>201.97741947565555</v>
      </c>
      <c r="H95" s="6"/>
      <c r="I95" s="49"/>
      <c r="J95" s="49"/>
      <c r="K95" s="49"/>
      <c r="L95" s="49"/>
      <c r="M95" s="6"/>
      <c r="N95" s="6"/>
      <c r="O95" s="6"/>
      <c r="P95" s="6"/>
    </row>
    <row r="96" spans="1:16" ht="17.5" customHeight="1">
      <c r="A96" s="22">
        <v>1875</v>
      </c>
      <c r="B96" s="69">
        <f>'E10 - GDP, 1790-1909'!I96</f>
        <v>171.96277162408083</v>
      </c>
      <c r="C96" s="137">
        <f t="shared" si="4"/>
        <v>8.3309823254274988</v>
      </c>
      <c r="D96" s="137">
        <f>'E10 - GDP, 1790-1909'!E96</f>
        <v>4.8446429693744646</v>
      </c>
      <c r="E96" s="34">
        <v>44022.746347768902</v>
      </c>
      <c r="F96" s="177">
        <f t="shared" si="5"/>
        <v>3906.2254377684003</v>
      </c>
      <c r="G96" s="177">
        <f t="shared" si="6"/>
        <v>189.2426760387637</v>
      </c>
      <c r="H96" s="6"/>
      <c r="I96" s="49"/>
      <c r="J96" s="49"/>
      <c r="K96" s="49"/>
      <c r="L96" s="49"/>
      <c r="M96" s="6"/>
      <c r="N96" s="6"/>
      <c r="O96" s="6"/>
      <c r="P96" s="6"/>
    </row>
    <row r="97" spans="1:16" ht="17.5" customHeight="1">
      <c r="A97" s="22">
        <v>1876</v>
      </c>
      <c r="B97" s="69">
        <f>'E10 - GDP, 1790-1909'!I97</f>
        <v>179.08147923651822</v>
      </c>
      <c r="C97" s="137">
        <f t="shared" si="4"/>
        <v>8.4816137952842077</v>
      </c>
      <c r="D97" s="137">
        <f>'E10 - GDP, 1790-1909'!E97</f>
        <v>4.7361758633243634</v>
      </c>
      <c r="E97" s="34">
        <v>45205.331576338758</v>
      </c>
      <c r="F97" s="177">
        <f t="shared" si="5"/>
        <v>3961.5123480313664</v>
      </c>
      <c r="G97" s="177">
        <f t="shared" si="6"/>
        <v>187.62419165007583</v>
      </c>
      <c r="H97" s="6"/>
      <c r="I97" s="49"/>
      <c r="J97" s="49"/>
      <c r="K97" s="49"/>
      <c r="L97" s="49"/>
      <c r="M97" s="6"/>
      <c r="N97" s="6"/>
      <c r="O97" s="6"/>
      <c r="P97" s="6"/>
    </row>
    <row r="98" spans="1:16" ht="17.5" customHeight="1">
      <c r="A98" s="22">
        <v>1877</v>
      </c>
      <c r="B98" s="69">
        <f>'E10 - GDP, 1790-1909'!I98</f>
        <v>187.99206186085308</v>
      </c>
      <c r="C98" s="137">
        <f t="shared" si="4"/>
        <v>8.699581849622831</v>
      </c>
      <c r="D98" s="137">
        <f>'E10 - GDP, 1790-1909'!E98</f>
        <v>4.6276325518797909</v>
      </c>
      <c r="E98" s="34">
        <v>46419.684650825868</v>
      </c>
      <c r="F98" s="177">
        <f t="shared" si="5"/>
        <v>4049.8349627954321</v>
      </c>
      <c r="G98" s="177">
        <f t="shared" si="6"/>
        <v>187.41148103573025</v>
      </c>
      <c r="H98" s="6"/>
      <c r="I98" s="49"/>
      <c r="J98" s="49"/>
      <c r="K98" s="49"/>
      <c r="L98" s="49"/>
      <c r="M98" s="6"/>
      <c r="N98" s="6"/>
      <c r="O98" s="6"/>
      <c r="P98" s="6"/>
    </row>
    <row r="99" spans="1:16" ht="17.5" customHeight="1">
      <c r="A99" s="22">
        <v>1878</v>
      </c>
      <c r="B99" s="69">
        <f>'E10 - GDP, 1790-1909'!I99</f>
        <v>194.03291628138336</v>
      </c>
      <c r="C99" s="137">
        <f t="shared" si="4"/>
        <v>8.5545100283174733</v>
      </c>
      <c r="D99" s="137">
        <f>'E10 - GDP, 1790-1909'!E99</f>
        <v>4.4087932049178002</v>
      </c>
      <c r="E99" s="34">
        <v>47666.658952457969</v>
      </c>
      <c r="F99" s="177">
        <f t="shared" si="5"/>
        <v>4070.6212800630519</v>
      </c>
      <c r="G99" s="177">
        <f t="shared" si="6"/>
        <v>179.46527439335776</v>
      </c>
      <c r="H99" s="6"/>
      <c r="I99" s="49"/>
      <c r="J99" s="49"/>
      <c r="K99" s="49"/>
      <c r="L99" s="49"/>
      <c r="M99" s="6"/>
      <c r="N99" s="6"/>
      <c r="O99" s="6"/>
      <c r="P99" s="6"/>
    </row>
    <row r="100" spans="1:16" ht="17.5" customHeight="1">
      <c r="A100" s="22">
        <v>1879</v>
      </c>
      <c r="B100" s="69">
        <f>'E10 - GDP, 1790-1909'!I100</f>
        <v>216.64829350266481</v>
      </c>
      <c r="C100" s="137">
        <f t="shared" si="4"/>
        <v>9.5548771962494463</v>
      </c>
      <c r="D100" s="137">
        <f>'E10 - GDP, 1790-1909'!E100</f>
        <v>4.4103173128072299</v>
      </c>
      <c r="E100" s="34">
        <v>48947.130786885202</v>
      </c>
      <c r="F100" s="177">
        <f t="shared" si="5"/>
        <v>4426.169420347579</v>
      </c>
      <c r="G100" s="177">
        <f t="shared" si="6"/>
        <v>195.20811623976866</v>
      </c>
      <c r="H100" s="6"/>
      <c r="I100" s="49"/>
      <c r="J100" s="49"/>
      <c r="K100" s="49"/>
      <c r="L100" s="49"/>
      <c r="M100" s="6"/>
      <c r="N100" s="6"/>
      <c r="O100" s="6"/>
      <c r="P100" s="6"/>
    </row>
    <row r="101" spans="1:16" ht="17.5" customHeight="1">
      <c r="A101" s="22">
        <v>1880</v>
      </c>
      <c r="B101" s="69">
        <f>'E10 - GDP, 1790-1909'!I101</f>
        <v>234.87806938377526</v>
      </c>
      <c r="C101" s="137">
        <f t="shared" si="4"/>
        <v>10.591700902064401</v>
      </c>
      <c r="D101" s="137">
        <f>'E10 - GDP, 1790-1909'!E101</f>
        <v>4.5094465097796173</v>
      </c>
      <c r="E101" s="34">
        <v>50262</v>
      </c>
      <c r="F101" s="177">
        <f t="shared" si="5"/>
        <v>4673.0744774138566</v>
      </c>
      <c r="G101" s="177">
        <f t="shared" si="6"/>
        <v>210.72979392114127</v>
      </c>
      <c r="H101" s="6"/>
      <c r="I101" s="49"/>
      <c r="J101" s="49"/>
      <c r="K101" s="49"/>
      <c r="L101" s="49"/>
      <c r="M101" s="6"/>
      <c r="N101" s="6"/>
      <c r="O101" s="6"/>
      <c r="P101" s="6"/>
    </row>
    <row r="102" spans="1:16" ht="17.5" customHeight="1">
      <c r="A102" s="22">
        <v>1881</v>
      </c>
      <c r="B102" s="69">
        <f>'E10 - GDP, 1790-1909'!I102</f>
        <v>264.593526046335</v>
      </c>
      <c r="C102" s="137">
        <f t="shared" si="4"/>
        <v>11.902257610815223</v>
      </c>
      <c r="D102" s="137">
        <f>'E10 - GDP, 1790-1909'!E102</f>
        <v>4.4983177739318263</v>
      </c>
      <c r="E102" s="34">
        <v>51542</v>
      </c>
      <c r="F102" s="177">
        <f t="shared" si="5"/>
        <v>5133.5517839108888</v>
      </c>
      <c r="G102" s="177">
        <f t="shared" si="6"/>
        <v>230.92347232965781</v>
      </c>
      <c r="H102" s="6"/>
      <c r="I102" s="49"/>
      <c r="J102" s="49"/>
      <c r="K102" s="49"/>
      <c r="L102" s="49"/>
      <c r="M102" s="6"/>
      <c r="N102" s="6"/>
      <c r="O102" s="6"/>
      <c r="P102" s="6"/>
    </row>
    <row r="103" spans="1:16" ht="17.5" customHeight="1">
      <c r="A103" s="22">
        <v>1882</v>
      </c>
      <c r="B103" s="69">
        <f>'E10 - GDP, 1790-1909'!I103</f>
        <v>278.99158752836121</v>
      </c>
      <c r="C103" s="137">
        <f t="shared" si="4"/>
        <v>12.518879932749243</v>
      </c>
      <c r="D103" s="137">
        <f>'E10 - GDP, 1790-1909'!E103</f>
        <v>4.4871890380840327</v>
      </c>
      <c r="E103" s="34">
        <v>52821</v>
      </c>
      <c r="F103" s="177">
        <f t="shared" si="5"/>
        <v>5281.8308537960511</v>
      </c>
      <c r="G103" s="177">
        <f t="shared" si="6"/>
        <v>237.00573508167668</v>
      </c>
      <c r="H103" s="6"/>
      <c r="I103" s="49"/>
      <c r="J103" s="49"/>
      <c r="K103" s="49"/>
      <c r="L103" s="49"/>
      <c r="M103" s="6"/>
      <c r="N103" s="6"/>
      <c r="O103" s="6"/>
      <c r="P103" s="6"/>
    </row>
    <row r="104" spans="1:16" ht="17.5" customHeight="1">
      <c r="A104" s="22">
        <v>1883</v>
      </c>
      <c r="B104" s="69">
        <f>'E10 - GDP, 1790-1909'!I104</f>
        <v>287.06631653531025</v>
      </c>
      <c r="C104" s="137">
        <f t="shared" si="4"/>
        <v>12.640330355276349</v>
      </c>
      <c r="D104" s="137">
        <f>'E10 - GDP, 1790-1909'!E104</f>
        <v>4.403278833907196</v>
      </c>
      <c r="E104" s="34">
        <v>54100</v>
      </c>
      <c r="F104" s="177">
        <f t="shared" si="5"/>
        <v>5306.2165718171955</v>
      </c>
      <c r="G104" s="177">
        <f t="shared" si="6"/>
        <v>233.64751118810258</v>
      </c>
      <c r="H104" s="6"/>
      <c r="I104" s="49"/>
      <c r="J104" s="49"/>
      <c r="K104" s="49"/>
      <c r="L104" s="49"/>
      <c r="M104" s="6"/>
      <c r="N104" s="6"/>
      <c r="O104" s="6"/>
      <c r="P104" s="6"/>
    </row>
    <row r="105" spans="1:16" ht="17.5" customHeight="1">
      <c r="A105" s="22">
        <v>1884</v>
      </c>
      <c r="B105" s="69">
        <f>'E10 - GDP, 1790-1909'!I105</f>
        <v>282.6520176103391</v>
      </c>
      <c r="C105" s="137">
        <f t="shared" si="4"/>
        <v>12.107202118402506</v>
      </c>
      <c r="D105" s="137">
        <f>'E10 - GDP, 1790-1909'!E105</f>
        <v>4.283430283201926</v>
      </c>
      <c r="E105" s="34">
        <v>55379</v>
      </c>
      <c r="F105" s="177">
        <f t="shared" si="5"/>
        <v>5103.9566913512181</v>
      </c>
      <c r="G105" s="177">
        <f t="shared" si="6"/>
        <v>218.62442655884914</v>
      </c>
      <c r="H105" s="6"/>
      <c r="I105" s="49"/>
      <c r="J105" s="49"/>
      <c r="K105" s="49"/>
      <c r="L105" s="49"/>
      <c r="M105" s="6"/>
      <c r="N105" s="6"/>
      <c r="O105" s="6"/>
      <c r="P105" s="6"/>
    </row>
    <row r="106" spans="1:16" ht="17.5" customHeight="1">
      <c r="A106" s="22">
        <v>1885</v>
      </c>
      <c r="B106" s="69">
        <f>'E10 - GDP, 1790-1909'!I106</f>
        <v>283.91060902467223</v>
      </c>
      <c r="C106" s="137">
        <f t="shared" si="4"/>
        <v>11.925194910160519</v>
      </c>
      <c r="D106" s="137">
        <f>'E10 - GDP, 1790-1909'!E106</f>
        <v>4.2003343767700496</v>
      </c>
      <c r="E106" s="34">
        <v>56658</v>
      </c>
      <c r="F106" s="177">
        <f t="shared" si="5"/>
        <v>5010.9535992211559</v>
      </c>
      <c r="G106" s="177">
        <f t="shared" si="6"/>
        <v>210.47680663208232</v>
      </c>
      <c r="H106" s="6"/>
      <c r="I106" s="49"/>
      <c r="J106" s="49"/>
      <c r="K106" s="49"/>
      <c r="L106" s="49"/>
      <c r="M106" s="6"/>
      <c r="N106" s="6"/>
      <c r="O106" s="6"/>
      <c r="P106" s="6"/>
    </row>
    <row r="107" spans="1:16" ht="17.5" customHeight="1">
      <c r="A107" s="22">
        <v>1886</v>
      </c>
      <c r="B107" s="69">
        <f>'E10 - GDP, 1790-1909'!I107</f>
        <v>307.46001356616267</v>
      </c>
      <c r="C107" s="137">
        <f t="shared" ref="C107:C129" si="7">B107*D107/100</f>
        <v>12.548922278776153</v>
      </c>
      <c r="D107" s="137">
        <f>'E10 - GDP, 1790-1909'!E107</f>
        <v>4.0814810788641749</v>
      </c>
      <c r="E107" s="34">
        <v>57938</v>
      </c>
      <c r="F107" s="177">
        <f t="shared" si="5"/>
        <v>5306.7074038828177</v>
      </c>
      <c r="G107" s="177">
        <f t="shared" si="6"/>
        <v>216.59225860016141</v>
      </c>
      <c r="H107" s="6"/>
      <c r="I107" s="49"/>
      <c r="J107" s="49"/>
      <c r="K107" s="49"/>
      <c r="L107" s="49"/>
      <c r="M107" s="6"/>
      <c r="N107" s="6"/>
      <c r="O107" s="6"/>
      <c r="P107" s="6"/>
    </row>
    <row r="108" spans="1:16" ht="17.5" customHeight="1">
      <c r="A108" s="22">
        <v>1887</v>
      </c>
      <c r="B108" s="69">
        <f>'E10 - GDP, 1790-1909'!I108</f>
        <v>330.27757119702659</v>
      </c>
      <c r="C108" s="137">
        <f t="shared" si="7"/>
        <v>13.565444252491369</v>
      </c>
      <c r="D108" s="137">
        <f>'E10 - GDP, 1790-1909'!E108</f>
        <v>4.1072859423442125</v>
      </c>
      <c r="E108" s="34">
        <v>59217</v>
      </c>
      <c r="F108" s="177">
        <f t="shared" si="5"/>
        <v>5577.4114054583415</v>
      </c>
      <c r="G108" s="177">
        <f t="shared" si="6"/>
        <v>229.08023460309317</v>
      </c>
      <c r="H108" s="6"/>
      <c r="I108" s="49"/>
      <c r="J108" s="49"/>
      <c r="K108" s="49"/>
      <c r="L108" s="49"/>
      <c r="M108" s="6"/>
      <c r="N108" s="6"/>
      <c r="O108" s="6"/>
      <c r="P108" s="6"/>
    </row>
    <row r="109" spans="1:16" ht="17.5" customHeight="1">
      <c r="A109" s="22">
        <v>1888</v>
      </c>
      <c r="B109" s="69">
        <f>'E10 - GDP, 1790-1909'!I109</f>
        <v>349.81098350327625</v>
      </c>
      <c r="C109" s="137">
        <f t="shared" si="7"/>
        <v>14.331656312835745</v>
      </c>
      <c r="D109" s="137">
        <f>'E10 - GDP, 1790-1909'!E109</f>
        <v>4.096971504241381</v>
      </c>
      <c r="E109" s="34">
        <v>60496</v>
      </c>
      <c r="F109" s="177">
        <f t="shared" si="5"/>
        <v>5782.3820335770342</v>
      </c>
      <c r="G109" s="177">
        <f t="shared" si="6"/>
        <v>236.90254418202434</v>
      </c>
      <c r="H109" s="6"/>
      <c r="I109" s="49"/>
      <c r="J109" s="49"/>
      <c r="K109" s="49"/>
      <c r="L109" s="49"/>
      <c r="M109" s="6"/>
      <c r="N109" s="6"/>
      <c r="O109" s="6"/>
      <c r="P109" s="6"/>
    </row>
    <row r="110" spans="1:16" ht="17.5" customHeight="1">
      <c r="A110" s="22">
        <v>1889</v>
      </c>
      <c r="B110" s="69">
        <f>'E10 - GDP, 1790-1909'!I110</f>
        <v>360.32330379925571</v>
      </c>
      <c r="C110" s="137">
        <f t="shared" si="7"/>
        <v>14.337673077875728</v>
      </c>
      <c r="D110" s="137">
        <f>'E10 - GDP, 1790-1909'!E110</f>
        <v>3.9791134591349024</v>
      </c>
      <c r="E110" s="34">
        <v>61775</v>
      </c>
      <c r="F110" s="177">
        <f t="shared" si="5"/>
        <v>5832.833732080222</v>
      </c>
      <c r="G110" s="177">
        <f t="shared" si="6"/>
        <v>232.09507208216476</v>
      </c>
      <c r="H110" s="6"/>
      <c r="I110" s="49"/>
      <c r="J110" s="49"/>
      <c r="K110" s="49"/>
      <c r="L110" s="49"/>
      <c r="M110" s="6"/>
      <c r="N110" s="6"/>
      <c r="O110" s="6"/>
      <c r="P110" s="6"/>
    </row>
    <row r="111" spans="1:16" ht="17.5" customHeight="1">
      <c r="A111" s="22">
        <v>1890</v>
      </c>
      <c r="B111" s="69">
        <f>'E10 - GDP, 1790-1909'!I111</f>
        <v>395.40517071791544</v>
      </c>
      <c r="C111" s="137">
        <f t="shared" si="7"/>
        <v>15.607436417846793</v>
      </c>
      <c r="D111" s="137">
        <f>'E10 - GDP, 1790-1909'!E111</f>
        <v>3.9472008900412781</v>
      </c>
      <c r="E111" s="34">
        <v>63056</v>
      </c>
      <c r="F111" s="177">
        <f t="shared" si="5"/>
        <v>6270.6985967697829</v>
      </c>
      <c r="G111" s="177">
        <f t="shared" si="6"/>
        <v>247.51707082350282</v>
      </c>
      <c r="H111" s="6"/>
      <c r="I111" s="49"/>
      <c r="J111" s="49"/>
      <c r="K111" s="49"/>
      <c r="L111" s="49"/>
      <c r="M111" s="6"/>
      <c r="N111" s="6"/>
      <c r="O111" s="6"/>
      <c r="P111" s="6"/>
    </row>
    <row r="112" spans="1:16" ht="17.5" customHeight="1">
      <c r="A112" s="22">
        <v>1891</v>
      </c>
      <c r="B112" s="69">
        <f>'E10 - GDP, 1790-1909'!I112</f>
        <v>399.90008582479004</v>
      </c>
      <c r="C112" s="137">
        <f t="shared" si="7"/>
        <v>15.943952673562082</v>
      </c>
      <c r="D112" s="137">
        <f>'E10 - GDP, 1790-1909'!E112</f>
        <v>3.9869840589500836</v>
      </c>
      <c r="E112" s="34">
        <v>64361</v>
      </c>
      <c r="F112" s="177">
        <f t="shared" si="5"/>
        <v>6213.391429977627</v>
      </c>
      <c r="G112" s="177">
        <f t="shared" si="6"/>
        <v>247.72692583337863</v>
      </c>
      <c r="H112" s="6"/>
      <c r="I112" s="49"/>
      <c r="J112" s="49"/>
      <c r="K112" s="49"/>
      <c r="L112" s="49"/>
      <c r="M112" s="6"/>
      <c r="N112" s="6"/>
      <c r="O112" s="6"/>
      <c r="P112" s="6"/>
    </row>
    <row r="113" spans="1:16" ht="17.5" customHeight="1">
      <c r="A113" s="22">
        <v>1892</v>
      </c>
      <c r="B113" s="69">
        <f>'E10 - GDP, 1790-1909'!I113</f>
        <v>420.18072224512008</v>
      </c>
      <c r="C113" s="137">
        <f t="shared" si="7"/>
        <v>16.919699621147277</v>
      </c>
      <c r="D113" s="137">
        <f>'E10 - GDP, 1790-1909'!E113</f>
        <v>4.0267672278588886</v>
      </c>
      <c r="E113" s="34">
        <v>65666</v>
      </c>
      <c r="F113" s="177">
        <f t="shared" si="5"/>
        <v>6398.7561636938462</v>
      </c>
      <c r="G113" s="177">
        <f t="shared" si="6"/>
        <v>257.66301619022443</v>
      </c>
      <c r="H113" s="6"/>
      <c r="I113" s="49"/>
      <c r="J113" s="49"/>
      <c r="K113" s="49"/>
      <c r="L113" s="49"/>
      <c r="M113" s="6"/>
      <c r="N113" s="6"/>
      <c r="O113" s="6"/>
      <c r="P113" s="6"/>
    </row>
    <row r="114" spans="1:16" ht="17.5" customHeight="1">
      <c r="A114" s="22">
        <v>1893</v>
      </c>
      <c r="B114" s="69">
        <f>'E10 - GDP, 1790-1909'!I114</f>
        <v>395.44711531960769</v>
      </c>
      <c r="C114" s="137">
        <f t="shared" si="7"/>
        <v>15.933523611008061</v>
      </c>
      <c r="D114" s="137">
        <f>'E10 - GDP, 1790-1909'!E114</f>
        <v>4.0292425949624873</v>
      </c>
      <c r="E114" s="34">
        <v>66970</v>
      </c>
      <c r="F114" s="177">
        <f t="shared" si="5"/>
        <v>5904.8397091176303</v>
      </c>
      <c r="G114" s="177">
        <f t="shared" si="6"/>
        <v>237.92031672402658</v>
      </c>
      <c r="H114" s="6"/>
      <c r="I114" s="49"/>
      <c r="J114" s="49"/>
      <c r="K114" s="49"/>
      <c r="L114" s="49"/>
      <c r="M114" s="6"/>
      <c r="N114" s="6"/>
      <c r="O114" s="6"/>
      <c r="P114" s="6"/>
    </row>
    <row r="115" spans="1:16" ht="17.5" customHeight="1">
      <c r="A115" s="22">
        <v>1894</v>
      </c>
      <c r="B115" s="69">
        <f>'E10 - GDP, 1790-1909'!I115</f>
        <v>376.41032364394511</v>
      </c>
      <c r="C115" s="137">
        <f t="shared" si="7"/>
        <v>14.605837952657575</v>
      </c>
      <c r="D115" s="137">
        <f>'E10 - GDP, 1790-1909'!E115</f>
        <v>3.880296855639263</v>
      </c>
      <c r="E115" s="34">
        <v>68275</v>
      </c>
      <c r="F115" s="177">
        <f t="shared" si="5"/>
        <v>5513.1501082965233</v>
      </c>
      <c r="G115" s="177">
        <f t="shared" si="6"/>
        <v>213.92659029890262</v>
      </c>
      <c r="H115" s="6"/>
      <c r="I115" s="49"/>
      <c r="J115" s="49"/>
      <c r="K115" s="49"/>
      <c r="L115" s="49"/>
      <c r="M115" s="6"/>
      <c r="N115" s="6"/>
      <c r="O115" s="6"/>
      <c r="P115" s="6"/>
    </row>
    <row r="116" spans="1:16" ht="17.5" customHeight="1">
      <c r="A116" s="22">
        <v>1895</v>
      </c>
      <c r="B116" s="69">
        <f>'E10 - GDP, 1790-1909'!I116</f>
        <v>419.44413914674652</v>
      </c>
      <c r="C116" s="137">
        <f t="shared" si="7"/>
        <v>16.114266130141786</v>
      </c>
      <c r="D116" s="137">
        <f>'E10 - GDP, 1790-1909'!E116</f>
        <v>3.8418145889276705</v>
      </c>
      <c r="E116" s="34">
        <v>69580</v>
      </c>
      <c r="F116" s="177">
        <f t="shared" si="5"/>
        <v>6028.2285016778751</v>
      </c>
      <c r="G116" s="177">
        <f t="shared" si="6"/>
        <v>231.59336203135652</v>
      </c>
      <c r="H116" s="6"/>
      <c r="I116" s="49"/>
      <c r="J116" s="49"/>
      <c r="K116" s="49"/>
      <c r="L116" s="49"/>
      <c r="M116" s="6"/>
      <c r="N116" s="6"/>
      <c r="O116" s="6"/>
      <c r="P116" s="6"/>
    </row>
    <row r="117" spans="1:16" ht="17.5" customHeight="1">
      <c r="A117" s="22">
        <v>1896</v>
      </c>
      <c r="B117" s="69">
        <f>'E10 - GDP, 1790-1909'!I117</f>
        <v>412.24445068009055</v>
      </c>
      <c r="C117" s="137">
        <f t="shared" si="7"/>
        <v>15.989634370467455</v>
      </c>
      <c r="D117" s="137">
        <f>'E10 - GDP, 1790-1909'!E117</f>
        <v>3.8786778922284904</v>
      </c>
      <c r="E117" s="34">
        <v>70885</v>
      </c>
      <c r="F117" s="177">
        <f t="shared" si="5"/>
        <v>5815.6796315171123</v>
      </c>
      <c r="G117" s="177">
        <f t="shared" si="6"/>
        <v>225.57148015048958</v>
      </c>
      <c r="H117" s="6"/>
      <c r="I117" s="49"/>
      <c r="J117" s="49"/>
      <c r="K117" s="49"/>
      <c r="L117" s="49"/>
      <c r="M117" s="6"/>
      <c r="N117" s="6"/>
      <c r="O117" s="6"/>
      <c r="P117" s="6"/>
    </row>
    <row r="118" spans="1:16" ht="17.5" customHeight="1">
      <c r="A118" s="22">
        <v>1897</v>
      </c>
      <c r="B118" s="69">
        <f>'E10 - GDP, 1790-1909'!I118</f>
        <v>429.88627730905426</v>
      </c>
      <c r="C118" s="137">
        <f t="shared" si="7"/>
        <v>16.665717110854846</v>
      </c>
      <c r="D118" s="137">
        <f>'E10 - GDP, 1790-1909'!E118</f>
        <v>3.8767734609201101</v>
      </c>
      <c r="E118" s="34">
        <v>72189</v>
      </c>
      <c r="F118" s="177">
        <f t="shared" si="5"/>
        <v>5955.0108369565205</v>
      </c>
      <c r="G118" s="177">
        <f t="shared" si="6"/>
        <v>230.86227972204694</v>
      </c>
      <c r="H118" s="6"/>
      <c r="I118" s="49"/>
      <c r="J118" s="49"/>
      <c r="K118" s="49"/>
      <c r="L118" s="49"/>
      <c r="M118" s="6"/>
      <c r="N118" s="6"/>
      <c r="O118" s="6"/>
      <c r="P118" s="6"/>
    </row>
    <row r="119" spans="1:16" ht="17.5" customHeight="1">
      <c r="A119" s="22">
        <v>1898</v>
      </c>
      <c r="B119" s="69">
        <f>'E10 - GDP, 1790-1909'!I119</f>
        <v>476.91963535025781</v>
      </c>
      <c r="C119" s="137">
        <f t="shared" si="7"/>
        <v>18.663161508304796</v>
      </c>
      <c r="D119" s="137">
        <f>'E10 - GDP, 1790-1909'!E119</f>
        <v>3.9132717810199318</v>
      </c>
      <c r="E119" s="34">
        <v>73494</v>
      </c>
      <c r="F119" s="177">
        <f t="shared" si="5"/>
        <v>6489.2322550175231</v>
      </c>
      <c r="G119" s="177">
        <f t="shared" si="6"/>
        <v>253.94129464044408</v>
      </c>
      <c r="H119" s="6"/>
      <c r="I119" s="49"/>
      <c r="J119" s="49"/>
      <c r="K119" s="49"/>
      <c r="L119" s="49"/>
      <c r="M119" s="6"/>
      <c r="N119" s="6"/>
      <c r="O119" s="6"/>
      <c r="P119" s="6"/>
    </row>
    <row r="120" spans="1:16" ht="17.5" customHeight="1">
      <c r="A120" s="22">
        <v>1899</v>
      </c>
      <c r="B120" s="69">
        <f>'E10 - GDP, 1790-1909'!I120</f>
        <v>509.3819190282772</v>
      </c>
      <c r="C120" s="137">
        <f t="shared" si="7"/>
        <v>20.119414738288924</v>
      </c>
      <c r="D120" s="137">
        <f>'E10 - GDP, 1790-1909'!E120</f>
        <v>3.9497701011197535</v>
      </c>
      <c r="E120" s="34">
        <v>74799</v>
      </c>
      <c r="F120" s="177">
        <f t="shared" si="5"/>
        <v>6810.0097464976425</v>
      </c>
      <c r="G120" s="177">
        <f t="shared" si="6"/>
        <v>268.97972885050501</v>
      </c>
      <c r="H120" s="6"/>
      <c r="I120" s="49"/>
      <c r="J120" s="49"/>
      <c r="K120" s="49"/>
      <c r="L120" s="49"/>
      <c r="M120" s="6"/>
      <c r="N120" s="6"/>
      <c r="O120" s="6"/>
      <c r="P120" s="6"/>
    </row>
    <row r="121" spans="1:16" ht="17.5" customHeight="1">
      <c r="A121" s="22">
        <v>1900</v>
      </c>
      <c r="B121" s="69">
        <f>'E10 - GDP, 1790-1909'!I121</f>
        <v>521.77804767239002</v>
      </c>
      <c r="C121" s="137">
        <f t="shared" si="7"/>
        <v>21.196628306587563</v>
      </c>
      <c r="D121" s="137">
        <f>'E10 - GDP, 1790-1909'!E121</f>
        <v>4.0623840732940035</v>
      </c>
      <c r="E121" s="43">
        <f>'S11b Population 1900 to 2022'!B13</f>
        <v>76094</v>
      </c>
      <c r="F121" s="177">
        <f t="shared" si="5"/>
        <v>6857.0195767391651</v>
      </c>
      <c r="G121" s="177">
        <f t="shared" si="6"/>
        <v>278.55847118810374</v>
      </c>
      <c r="H121" s="6"/>
      <c r="I121" s="49"/>
      <c r="J121" s="49"/>
      <c r="K121" s="49"/>
      <c r="L121" s="49"/>
      <c r="M121" s="6"/>
      <c r="N121" s="6"/>
      <c r="O121" s="6"/>
      <c r="P121" s="6"/>
    </row>
    <row r="122" spans="1:16" ht="17.5" customHeight="1">
      <c r="A122" s="22">
        <v>1901</v>
      </c>
      <c r="B122" s="69">
        <f>'E10 - GDP, 1790-1909'!I122</f>
        <v>549.0459305294919</v>
      </c>
      <c r="C122" s="137">
        <f t="shared" si="7"/>
        <v>22.930606213108977</v>
      </c>
      <c r="D122" s="137">
        <f>'E10 - GDP, 1790-1909'!E122</f>
        <v>4.1764458924219756</v>
      </c>
      <c r="E122" s="43">
        <f>'S11b Population 1900 to 2022'!B14</f>
        <v>77584</v>
      </c>
      <c r="F122" s="177">
        <f t="shared" si="5"/>
        <v>7076.7932889447811</v>
      </c>
      <c r="G122" s="177">
        <f t="shared" si="6"/>
        <v>295.55844263132832</v>
      </c>
      <c r="H122" s="6"/>
      <c r="I122" s="49"/>
      <c r="J122" s="49"/>
      <c r="K122" s="49"/>
      <c r="L122" s="49"/>
      <c r="M122" s="6"/>
      <c r="N122" s="6"/>
      <c r="O122" s="6"/>
      <c r="P122" s="6"/>
    </row>
    <row r="123" spans="1:16" ht="17.5" customHeight="1">
      <c r="A123" s="22">
        <v>1902</v>
      </c>
      <c r="B123" s="69">
        <f>'E10 - GDP, 1790-1909'!I123</f>
        <v>576.7472407250757</v>
      </c>
      <c r="C123" s="137">
        <f t="shared" si="7"/>
        <v>24.753735256816448</v>
      </c>
      <c r="D123" s="137">
        <f>'E10 - GDP, 1790-1909'!E123</f>
        <v>4.2919555585036733</v>
      </c>
      <c r="E123" s="43">
        <f>'S11b Population 1900 to 2022'!B15</f>
        <v>79163</v>
      </c>
      <c r="F123" s="177">
        <f t="shared" si="5"/>
        <v>7285.5657406247328</v>
      </c>
      <c r="G123" s="177">
        <f t="shared" si="6"/>
        <v>312.69324377318253</v>
      </c>
      <c r="H123" s="6"/>
      <c r="I123" s="49"/>
      <c r="J123" s="49"/>
      <c r="K123" s="49"/>
      <c r="L123" s="49"/>
      <c r="M123" s="6"/>
      <c r="N123" s="6"/>
      <c r="O123" s="6"/>
      <c r="P123" s="6"/>
    </row>
    <row r="124" spans="1:16" ht="17.5" customHeight="1">
      <c r="A124" s="22">
        <v>1903</v>
      </c>
      <c r="B124" s="69">
        <f>'E10 - GDP, 1790-1909'!I124</f>
        <v>592.99682936634281</v>
      </c>
      <c r="C124" s="137">
        <f t="shared" si="7"/>
        <v>26.647497699201701</v>
      </c>
      <c r="D124" s="137">
        <f>'E10 - GDP, 1790-1909'!E124</f>
        <v>4.4936998613763839</v>
      </c>
      <c r="E124" s="43">
        <f>'S11b Population 1900 to 2022'!B16</f>
        <v>80632</v>
      </c>
      <c r="F124" s="177">
        <f t="shared" si="5"/>
        <v>7354.3609158441168</v>
      </c>
      <c r="G124" s="177">
        <f t="shared" si="6"/>
        <v>330.48290628040604</v>
      </c>
      <c r="H124" s="6"/>
      <c r="I124" s="49"/>
      <c r="J124" s="49"/>
      <c r="K124" s="49"/>
      <c r="L124" s="49"/>
      <c r="M124" s="6"/>
      <c r="N124" s="6"/>
      <c r="O124" s="6"/>
      <c r="P124" s="6"/>
    </row>
    <row r="125" spans="1:16" ht="17.5" customHeight="1">
      <c r="A125" s="22">
        <v>1904</v>
      </c>
      <c r="B125" s="69">
        <f>'E10 - GDP, 1790-1909'!I125</f>
        <v>571.37064198718156</v>
      </c>
      <c r="C125" s="137">
        <f t="shared" si="7"/>
        <v>26.360487784875023</v>
      </c>
      <c r="D125" s="137">
        <f>'E10 - GDP, 1790-1909'!E125</f>
        <v>4.613553068319252</v>
      </c>
      <c r="E125" s="43">
        <f>'S11b Population 1900 to 2022'!B17</f>
        <v>82166</v>
      </c>
      <c r="F125" s="177">
        <f t="shared" si="5"/>
        <v>6953.8573374288826</v>
      </c>
      <c r="G125" s="177">
        <f t="shared" si="6"/>
        <v>320.81989855749362</v>
      </c>
      <c r="H125" s="6"/>
      <c r="I125" s="49"/>
      <c r="J125" s="49"/>
      <c r="K125" s="49"/>
      <c r="L125" s="49"/>
      <c r="M125" s="6"/>
      <c r="N125" s="6"/>
      <c r="O125" s="6"/>
      <c r="P125" s="6"/>
    </row>
    <row r="126" spans="1:16" ht="17.5" customHeight="1">
      <c r="A126" s="22">
        <v>1905</v>
      </c>
      <c r="B126" s="69">
        <f>'E10 - GDP, 1790-1909'!I126</f>
        <v>635.29044223459675</v>
      </c>
      <c r="C126" s="137">
        <f t="shared" si="7"/>
        <v>29.523037253443839</v>
      </c>
      <c r="D126" s="137">
        <f>'E10 - GDP, 1790-1909'!E126</f>
        <v>4.6471716384711055</v>
      </c>
      <c r="E126" s="43">
        <f>'S11b Population 1900 to 2022'!B18</f>
        <v>83822</v>
      </c>
      <c r="F126" s="177">
        <f t="shared" si="5"/>
        <v>7579.0418056667313</v>
      </c>
      <c r="G126" s="177">
        <f t="shared" si="6"/>
        <v>352.21108126081265</v>
      </c>
      <c r="H126" s="6"/>
      <c r="I126" s="49"/>
      <c r="J126" s="49"/>
      <c r="K126" s="49"/>
      <c r="L126" s="49"/>
      <c r="M126" s="6"/>
      <c r="N126" s="6"/>
      <c r="O126" s="6"/>
      <c r="P126" s="6"/>
    </row>
    <row r="127" spans="1:16" ht="17.5" customHeight="1">
      <c r="A127" s="22">
        <v>1906</v>
      </c>
      <c r="B127" s="69">
        <f>'E10 - GDP, 1790-1909'!I127</f>
        <v>660.58313352249343</v>
      </c>
      <c r="C127" s="137">
        <f t="shared" si="7"/>
        <v>31.79411629813038</v>
      </c>
      <c r="D127" s="137">
        <f>'E10 - GDP, 1790-1909'!E127</f>
        <v>4.813037857716929</v>
      </c>
      <c r="E127" s="43">
        <f>'S11b Population 1900 to 2022'!B19</f>
        <v>85450</v>
      </c>
      <c r="F127" s="177">
        <f t="shared" si="5"/>
        <v>7730.639362463352</v>
      </c>
      <c r="G127" s="177">
        <f t="shared" si="6"/>
        <v>372.07859915892777</v>
      </c>
      <c r="H127" s="6"/>
      <c r="I127" s="49"/>
      <c r="J127" s="49"/>
      <c r="K127" s="49"/>
      <c r="L127" s="49"/>
      <c r="M127" s="6"/>
      <c r="N127" s="6"/>
      <c r="O127" s="6"/>
      <c r="P127" s="6"/>
    </row>
    <row r="128" spans="1:16" ht="17.5" customHeight="1">
      <c r="A128" s="22">
        <v>1907</v>
      </c>
      <c r="B128" s="69">
        <f>'E10 - GDP, 1790-1909'!I128</f>
        <v>676.85004076384348</v>
      </c>
      <c r="C128" s="137">
        <f t="shared" si="7"/>
        <v>34.638931428450945</v>
      </c>
      <c r="D128" s="137">
        <f>'E10 - GDP, 1790-1909'!E128</f>
        <v>5.1176670373484772</v>
      </c>
      <c r="E128" s="43">
        <f>'S11b Population 1900 to 2022'!B20</f>
        <v>87008</v>
      </c>
      <c r="F128" s="177">
        <f t="shared" si="5"/>
        <v>7779.1702000257856</v>
      </c>
      <c r="G128" s="177">
        <f t="shared" si="6"/>
        <v>398.11202910595517</v>
      </c>
      <c r="H128" s="6"/>
      <c r="I128" s="49"/>
      <c r="J128" s="49"/>
      <c r="K128" s="49"/>
      <c r="L128" s="49"/>
      <c r="M128" s="6"/>
      <c r="N128" s="6"/>
      <c r="O128" s="6"/>
      <c r="P128" s="6"/>
    </row>
    <row r="129" spans="1:16" ht="17.5" customHeight="1">
      <c r="A129" s="22">
        <v>1908</v>
      </c>
      <c r="B129" s="69">
        <f>'E10 - GDP, 1790-1909'!I129</f>
        <v>602.97516267362505</v>
      </c>
      <c r="C129" s="137">
        <f t="shared" si="7"/>
        <v>30.796620972110105</v>
      </c>
      <c r="D129" s="137">
        <f>'E10 - GDP, 1790-1909'!E129</f>
        <v>5.1074443656279627</v>
      </c>
      <c r="E129" s="43">
        <f>'S11b Population 1900 to 2022'!B21</f>
        <v>88710</v>
      </c>
      <c r="F129" s="177">
        <f t="shared" si="5"/>
        <v>6797.1498441396134</v>
      </c>
      <c r="G129" s="177">
        <f t="shared" si="6"/>
        <v>347.16064673779852</v>
      </c>
      <c r="H129" s="6"/>
      <c r="I129" s="49"/>
      <c r="J129" s="49"/>
      <c r="K129" s="49"/>
      <c r="L129" s="49"/>
      <c r="M129" s="6"/>
      <c r="N129" s="6"/>
      <c r="O129" s="6"/>
      <c r="P129" s="6"/>
    </row>
    <row r="130" spans="1:16" ht="17.5" customHeight="1">
      <c r="A130" s="22">
        <v>1909</v>
      </c>
      <c r="B130" s="178">
        <f>'S-23 Kendrick GNP-GDP'!I9</f>
        <v>646.06455093772286</v>
      </c>
      <c r="C130" s="178">
        <f>'S-23 Kendrick GNP-GDP'!G9/1000</f>
        <v>32.540397840067698</v>
      </c>
      <c r="D130" s="179">
        <f t="shared" ref="D130:D149" si="8">100*C130/B130</f>
        <v>5.0367099994632607</v>
      </c>
      <c r="E130" s="43">
        <f>'S11b Population 1900 to 2022'!B22</f>
        <v>90490</v>
      </c>
      <c r="F130" s="177">
        <f t="shared" si="5"/>
        <v>7139.6237256903842</v>
      </c>
      <c r="G130" s="177">
        <f t="shared" si="6"/>
        <v>359.60214211589897</v>
      </c>
      <c r="H130" s="6"/>
      <c r="I130" s="49"/>
      <c r="J130" s="49"/>
      <c r="K130" s="49"/>
      <c r="L130" s="49"/>
      <c r="M130" s="6"/>
      <c r="N130" s="6"/>
      <c r="O130" s="6"/>
      <c r="P130" s="6"/>
    </row>
    <row r="131" spans="1:16" ht="17.5" customHeight="1">
      <c r="A131" s="22">
        <v>1910</v>
      </c>
      <c r="B131" s="178">
        <f>'S-23 Kendrick GNP-GDP'!I10</f>
        <v>653.02090906524188</v>
      </c>
      <c r="C131" s="178">
        <f>'S-23 Kendrick GNP-GDP'!G10/1000</f>
        <v>33.745796016070543</v>
      </c>
      <c r="D131" s="179">
        <f t="shared" si="8"/>
        <v>5.1676440290978611</v>
      </c>
      <c r="E131" s="43">
        <f>'S11b Population 1900 to 2022'!B23</f>
        <v>92407</v>
      </c>
      <c r="F131" s="177">
        <f t="shared" si="5"/>
        <v>7066.7904927683176</v>
      </c>
      <c r="G131" s="177">
        <f t="shared" si="6"/>
        <v>365.18657694839726</v>
      </c>
      <c r="H131" s="6"/>
      <c r="I131" s="49"/>
      <c r="J131" s="49"/>
      <c r="K131" s="49"/>
      <c r="L131" s="49"/>
      <c r="M131" s="6"/>
      <c r="N131" s="6"/>
      <c r="O131" s="6"/>
      <c r="P131" s="6"/>
    </row>
    <row r="132" spans="1:16" ht="17.5" customHeight="1">
      <c r="A132" s="22">
        <v>1911</v>
      </c>
      <c r="B132" s="178">
        <f>'S-23 Kendrick GNP-GDP'!I11</f>
        <v>674.17838967199123</v>
      </c>
      <c r="C132" s="178">
        <f>'S-23 Kendrick GNP-GDP'!G11/1000</f>
        <v>34.674719567381118</v>
      </c>
      <c r="D132" s="179">
        <f t="shared" si="8"/>
        <v>5.1432558650020574</v>
      </c>
      <c r="E132" s="43">
        <f>'S11b Population 1900 to 2022'!B24</f>
        <v>93863</v>
      </c>
      <c r="F132" s="177">
        <f t="shared" si="5"/>
        <v>7182.5787549086563</v>
      </c>
      <c r="G132" s="177">
        <f t="shared" si="6"/>
        <v>369.41840307023125</v>
      </c>
      <c r="H132" s="6"/>
      <c r="I132" s="49"/>
      <c r="J132" s="49"/>
      <c r="K132" s="49"/>
      <c r="L132" s="49"/>
      <c r="M132" s="6"/>
      <c r="N132" s="6"/>
      <c r="O132" s="6"/>
      <c r="P132" s="6"/>
    </row>
    <row r="133" spans="1:16" ht="17.5" customHeight="1">
      <c r="A133" s="22">
        <v>1912</v>
      </c>
      <c r="B133" s="178">
        <f>'S-23 Kendrick GNP-GDP'!I12</f>
        <v>705.76463934553522</v>
      </c>
      <c r="C133" s="178">
        <f>'S-23 Kendrick GNP-GDP'!G12/1000</f>
        <v>37.745181562097237</v>
      </c>
      <c r="D133" s="179">
        <f t="shared" si="8"/>
        <v>5.3481259130662648</v>
      </c>
      <c r="E133" s="43">
        <f>'S11b Population 1900 to 2022'!B25</f>
        <v>95335</v>
      </c>
      <c r="F133" s="177">
        <f t="shared" si="5"/>
        <v>7402.9961645307094</v>
      </c>
      <c r="G133" s="177">
        <f t="shared" si="6"/>
        <v>395.92155621856858</v>
      </c>
      <c r="H133" s="6"/>
      <c r="I133" s="49"/>
      <c r="J133" s="49"/>
      <c r="K133" s="49"/>
      <c r="L133" s="49"/>
      <c r="M133" s="6"/>
      <c r="N133" s="6"/>
      <c r="O133" s="6"/>
      <c r="P133" s="6"/>
    </row>
    <row r="134" spans="1:16" ht="17.5" customHeight="1">
      <c r="A134" s="22">
        <v>1913</v>
      </c>
      <c r="B134" s="178">
        <f>'S-23 Kendrick GNP-GDP'!I13</f>
        <v>733.62468060251433</v>
      </c>
      <c r="C134" s="178">
        <f>'S-23 Kendrick GNP-GDP'!G13/1000</f>
        <v>39.517421150910664</v>
      </c>
      <c r="D134" s="179">
        <f t="shared" si="8"/>
        <v>5.3865991965340685</v>
      </c>
      <c r="E134" s="43">
        <f>'S11b Population 1900 to 2022'!B26</f>
        <v>97225</v>
      </c>
      <c r="F134" s="177">
        <f t="shared" si="5"/>
        <v>7545.6382679610624</v>
      </c>
      <c r="G134" s="177">
        <f t="shared" si="6"/>
        <v>406.45329031535783</v>
      </c>
      <c r="H134" s="6"/>
      <c r="I134" s="49"/>
      <c r="J134" s="49"/>
      <c r="K134" s="49"/>
      <c r="L134" s="49"/>
      <c r="M134" s="6"/>
      <c r="N134" s="6"/>
      <c r="O134" s="6"/>
      <c r="P134" s="6"/>
    </row>
    <row r="135" spans="1:16" ht="17.5" customHeight="1">
      <c r="A135" s="22">
        <v>1914</v>
      </c>
      <c r="B135" s="178">
        <f>'S-23 Kendrick GNP-GDP'!I14</f>
        <v>677.45468437881607</v>
      </c>
      <c r="C135" s="178">
        <f>'S-23 Kendrick GNP-GDP'!G14/1000</f>
        <v>36.830775236581637</v>
      </c>
      <c r="D135" s="179">
        <f t="shared" si="8"/>
        <v>5.4366404256770577</v>
      </c>
      <c r="E135" s="43">
        <f>'S11b Population 1900 to 2022'!B27</f>
        <v>99111</v>
      </c>
      <c r="F135" s="177">
        <f t="shared" si="5"/>
        <v>6835.3127743521518</v>
      </c>
      <c r="G135" s="177">
        <f t="shared" si="6"/>
        <v>371.6113775118971</v>
      </c>
      <c r="H135" s="6"/>
      <c r="I135" s="49"/>
      <c r="J135" s="49"/>
      <c r="K135" s="49"/>
      <c r="L135" s="49"/>
      <c r="M135" s="6"/>
      <c r="N135" s="6"/>
      <c r="O135" s="6"/>
      <c r="P135" s="6"/>
    </row>
    <row r="136" spans="1:16" ht="17.5" customHeight="1">
      <c r="A136" s="22">
        <v>1915</v>
      </c>
      <c r="B136" s="178">
        <f>'S-23 Kendrick GNP-GDP'!I15</f>
        <v>695.9242189760929</v>
      </c>
      <c r="C136" s="178">
        <f>'S-23 Kendrick GNP-GDP'!G15/1000</f>
        <v>39.047837097573556</v>
      </c>
      <c r="D136" s="179">
        <f t="shared" si="8"/>
        <v>5.610932344763671</v>
      </c>
      <c r="E136" s="43">
        <f>'S11b Population 1900 to 2022'!B28</f>
        <v>100546</v>
      </c>
      <c r="F136" s="177">
        <f t="shared" si="5"/>
        <v>6921.4510669354613</v>
      </c>
      <c r="G136" s="177">
        <f t="shared" si="6"/>
        <v>388.35793664167204</v>
      </c>
      <c r="H136" s="6"/>
      <c r="I136" s="49"/>
      <c r="J136" s="49"/>
      <c r="K136" s="49"/>
      <c r="L136" s="49"/>
      <c r="M136" s="6"/>
      <c r="N136" s="6"/>
      <c r="O136" s="6"/>
      <c r="P136" s="6"/>
    </row>
    <row r="137" spans="1:16" ht="17.5" customHeight="1">
      <c r="A137" s="22">
        <v>1916</v>
      </c>
      <c r="B137" s="178">
        <f>'S-23 Kendrick GNP-GDP'!I16</f>
        <v>792.42494159084652</v>
      </c>
      <c r="C137" s="178">
        <f>'S-23 Kendrick GNP-GDP'!G16/1000</f>
        <v>50.11705592036477</v>
      </c>
      <c r="D137" s="179">
        <f t="shared" si="8"/>
        <v>6.3245177290547421</v>
      </c>
      <c r="E137" s="43">
        <f>'S11b Population 1900 to 2022'!B29</f>
        <v>101961</v>
      </c>
      <c r="F137" s="177">
        <f t="shared" si="5"/>
        <v>7771.8435636257636</v>
      </c>
      <c r="G137" s="177">
        <f t="shared" si="6"/>
        <v>491.53162405591127</v>
      </c>
      <c r="H137" s="6"/>
      <c r="I137" s="49"/>
      <c r="J137" s="49"/>
      <c r="K137" s="49"/>
      <c r="L137" s="49"/>
      <c r="M137" s="6"/>
      <c r="N137" s="6"/>
      <c r="O137" s="6"/>
      <c r="P137" s="6"/>
    </row>
    <row r="138" spans="1:16" ht="17.5" customHeight="1">
      <c r="A138" s="22">
        <v>1917</v>
      </c>
      <c r="B138" s="178">
        <f>'S-23 Kendrick GNP-GDP'!I17</f>
        <v>772.82485459473594</v>
      </c>
      <c r="C138" s="178">
        <f>'S-23 Kendrick GNP-GDP'!G17/1000</f>
        <v>60.277976432085509</v>
      </c>
      <c r="D138" s="179">
        <f t="shared" si="8"/>
        <v>7.7996943387250228</v>
      </c>
      <c r="E138" s="43">
        <f>'S11b Population 1900 to 2022'!B30</f>
        <v>103414</v>
      </c>
      <c r="F138" s="177">
        <f t="shared" si="5"/>
        <v>7473.1163536342856</v>
      </c>
      <c r="G138" s="177">
        <f t="shared" si="6"/>
        <v>582.88023316074714</v>
      </c>
      <c r="H138" s="6"/>
      <c r="I138" s="49"/>
      <c r="J138" s="49"/>
      <c r="K138" s="49"/>
      <c r="L138" s="49"/>
      <c r="M138" s="6"/>
      <c r="N138" s="6"/>
      <c r="O138" s="6"/>
      <c r="P138" s="6"/>
    </row>
    <row r="139" spans="1:16" ht="17.5" customHeight="1">
      <c r="A139" s="22">
        <v>1918</v>
      </c>
      <c r="B139" s="178">
        <f>'S-23 Kendrick GNP-GDP'!I18</f>
        <v>842.52687085753826</v>
      </c>
      <c r="C139" s="178">
        <f>'S-23 Kendrick GNP-GDP'!G18/1000</f>
        <v>76.567416086914349</v>
      </c>
      <c r="D139" s="179">
        <f t="shared" si="8"/>
        <v>9.0878307547607022</v>
      </c>
      <c r="E139" s="43">
        <f>'S11b Population 1900 to 2022'!B31</f>
        <v>104550</v>
      </c>
      <c r="F139" s="177">
        <f t="shared" ref="F139:F202" si="9">(B139/E139)*1000000</f>
        <v>8058.602303754551</v>
      </c>
      <c r="G139" s="177">
        <f t="shared" ref="G139:G202" si="10">(C139/E139)*1000000</f>
        <v>732.35213856446046</v>
      </c>
      <c r="H139" s="6"/>
      <c r="I139" s="49"/>
      <c r="J139" s="49"/>
      <c r="K139" s="49"/>
      <c r="L139" s="49"/>
      <c r="M139" s="6"/>
      <c r="N139" s="6"/>
      <c r="O139" s="6"/>
      <c r="P139" s="6"/>
    </row>
    <row r="140" spans="1:16" ht="17.5" customHeight="1">
      <c r="A140" s="22">
        <v>1919</v>
      </c>
      <c r="B140" s="178">
        <f>'S-23 Kendrick GNP-GDP'!I19</f>
        <v>849.2871127526065</v>
      </c>
      <c r="C140" s="178">
        <f>'S-23 Kendrick GNP-GDP'!G19/1000</f>
        <v>79.089597710112002</v>
      </c>
      <c r="D140" s="179">
        <f t="shared" si="8"/>
        <v>9.3124688368078932</v>
      </c>
      <c r="E140" s="43">
        <f>'S11b Population 1900 to 2022'!B32</f>
        <v>105063</v>
      </c>
      <c r="F140" s="177">
        <f t="shared" si="9"/>
        <v>8083.5985337617094</v>
      </c>
      <c r="G140" s="177">
        <f t="shared" si="10"/>
        <v>752.78259434921904</v>
      </c>
      <c r="H140" s="6"/>
      <c r="I140" s="49"/>
      <c r="J140" s="49"/>
      <c r="K140" s="49"/>
      <c r="L140" s="49"/>
      <c r="M140" s="6"/>
      <c r="N140" s="6"/>
      <c r="O140" s="6"/>
      <c r="P140" s="6"/>
    </row>
    <row r="141" spans="1:16" ht="17.5" customHeight="1">
      <c r="A141" s="22">
        <v>1920</v>
      </c>
      <c r="B141" s="178">
        <f>'S-23 Kendrick GNP-GDP'!I20</f>
        <v>841.3501734628336</v>
      </c>
      <c r="C141" s="178">
        <f>'S-23 Kendrick GNP-GDP'!G20/1000</f>
        <v>89.246227052179691</v>
      </c>
      <c r="D141" s="179">
        <f t="shared" si="8"/>
        <v>10.607500879789397</v>
      </c>
      <c r="E141" s="43">
        <f>'S11b Population 1900 to 2022'!B33</f>
        <v>106461</v>
      </c>
      <c r="F141" s="177">
        <f t="shared" si="9"/>
        <v>7902.8956468832121</v>
      </c>
      <c r="G141" s="177">
        <f t="shared" si="10"/>
        <v>838.29972527197469</v>
      </c>
      <c r="H141" s="6"/>
      <c r="I141" s="49"/>
      <c r="J141" s="49"/>
      <c r="K141" s="49"/>
      <c r="L141" s="49"/>
      <c r="M141" s="6"/>
      <c r="N141" s="6"/>
      <c r="O141" s="6"/>
      <c r="P141" s="6"/>
    </row>
    <row r="142" spans="1:16" ht="17.5" customHeight="1">
      <c r="A142" s="22">
        <v>1921</v>
      </c>
      <c r="B142" s="178">
        <f>'S-23 Kendrick GNP-GDP'!I21</f>
        <v>822.06156518885052</v>
      </c>
      <c r="C142" s="178">
        <f>'S-23 Kendrick GNP-GDP'!G21/1000</f>
        <v>74.313797722459185</v>
      </c>
      <c r="D142" s="179">
        <f t="shared" si="8"/>
        <v>9.0399309333221574</v>
      </c>
      <c r="E142" s="43">
        <f>'S11b Population 1900 to 2022'!B34</f>
        <v>108538</v>
      </c>
      <c r="F142" s="177">
        <f t="shared" si="9"/>
        <v>7573.9516592239634</v>
      </c>
      <c r="G142" s="177">
        <f t="shared" si="10"/>
        <v>684.67999891705381</v>
      </c>
      <c r="H142" s="6"/>
      <c r="I142" s="49"/>
      <c r="J142" s="49"/>
      <c r="K142" s="49"/>
      <c r="L142" s="49"/>
      <c r="M142" s="6"/>
      <c r="N142" s="6"/>
      <c r="O142" s="6"/>
      <c r="P142" s="6"/>
    </row>
    <row r="143" spans="1:16" ht="17.5" customHeight="1">
      <c r="A143" s="22">
        <v>1922</v>
      </c>
      <c r="B143" s="178">
        <f>'S-23 Kendrick GNP-GDP'!I22</f>
        <v>867.71050235401242</v>
      </c>
      <c r="C143" s="178">
        <f>'S-23 Kendrick GNP-GDP'!G22/1000</f>
        <v>74.140369109279234</v>
      </c>
      <c r="D143" s="179">
        <f t="shared" si="8"/>
        <v>8.5443669182456343</v>
      </c>
      <c r="E143" s="43">
        <f>'S11b Population 1900 to 2022'!B35</f>
        <v>110049</v>
      </c>
      <c r="F143" s="177">
        <f t="shared" si="9"/>
        <v>7884.7649897228721</v>
      </c>
      <c r="G143" s="177">
        <f t="shared" si="10"/>
        <v>673.70325136329484</v>
      </c>
      <c r="H143" s="6"/>
      <c r="I143" s="49"/>
      <c r="J143" s="49"/>
      <c r="K143" s="49"/>
      <c r="L143" s="49"/>
      <c r="M143" s="6"/>
      <c r="N143" s="6"/>
      <c r="O143" s="6"/>
      <c r="P143" s="6"/>
    </row>
    <row r="144" spans="1:16" ht="17.5" customHeight="1">
      <c r="A144" s="22">
        <v>1923</v>
      </c>
      <c r="B144" s="178">
        <f>'S-23 Kendrick GNP-GDP'!I23</f>
        <v>981.96551213004602</v>
      </c>
      <c r="C144" s="178">
        <f>'S-23 Kendrick GNP-GDP'!G23/1000</f>
        <v>86.238044558267376</v>
      </c>
      <c r="D144" s="179">
        <f t="shared" si="8"/>
        <v>8.7821866952539658</v>
      </c>
      <c r="E144" s="43">
        <f>'S11b Population 1900 to 2022'!B36</f>
        <v>111947</v>
      </c>
      <c r="F144" s="177">
        <f t="shared" si="9"/>
        <v>8771.700109248537</v>
      </c>
      <c r="G144" s="177">
        <f t="shared" si="10"/>
        <v>770.34707994200267</v>
      </c>
      <c r="H144" s="6"/>
      <c r="I144" s="49"/>
      <c r="J144" s="49"/>
      <c r="K144" s="49"/>
      <c r="L144" s="49"/>
      <c r="M144" s="6"/>
      <c r="N144" s="6"/>
      <c r="O144" s="6"/>
      <c r="P144" s="6"/>
    </row>
    <row r="145" spans="1:16" ht="17.5" customHeight="1">
      <c r="A145" s="22">
        <v>1924</v>
      </c>
      <c r="B145" s="178">
        <f>'S-23 Kendrick GNP-GDP'!I24</f>
        <v>1012.20202067437</v>
      </c>
      <c r="C145" s="178">
        <f>'S-23 Kendrick GNP-GDP'!G24/1000</f>
        <v>87.785866360681069</v>
      </c>
      <c r="D145" s="179">
        <f t="shared" si="8"/>
        <v>8.6727614218942737</v>
      </c>
      <c r="E145" s="43">
        <f>'S11b Population 1900 to 2022'!B37</f>
        <v>114109</v>
      </c>
      <c r="F145" s="177">
        <f t="shared" si="9"/>
        <v>8870.4836662697071</v>
      </c>
      <c r="G145" s="177">
        <f t="shared" si="10"/>
        <v>769.31588534367199</v>
      </c>
      <c r="H145" s="6"/>
      <c r="I145" s="49"/>
      <c r="J145" s="49"/>
      <c r="K145" s="49"/>
      <c r="L145" s="49"/>
      <c r="M145" s="6"/>
      <c r="N145" s="6"/>
      <c r="O145" s="6"/>
      <c r="P145" s="6"/>
    </row>
    <row r="146" spans="1:16" ht="17.5" customHeight="1">
      <c r="A146" s="22">
        <v>1925</v>
      </c>
      <c r="B146" s="178">
        <f>'S-23 Kendrick GNP-GDP'!I25</f>
        <v>1035.9782297967856</v>
      </c>
      <c r="C146" s="178">
        <f>'S-23 Kendrick GNP-GDP'!G25/1000</f>
        <v>91.4490177739073</v>
      </c>
      <c r="D146" s="179">
        <f t="shared" si="8"/>
        <v>8.8273107622971647</v>
      </c>
      <c r="E146" s="43">
        <f>'S11b Population 1900 to 2022'!B38</f>
        <v>115829</v>
      </c>
      <c r="F146" s="177">
        <f t="shared" si="9"/>
        <v>8944.031544749465</v>
      </c>
      <c r="G146" s="177">
        <f t="shared" si="10"/>
        <v>789.51745913292268</v>
      </c>
      <c r="H146" s="6"/>
      <c r="I146" s="49"/>
      <c r="J146" s="49"/>
      <c r="K146" s="49"/>
      <c r="L146" s="49"/>
      <c r="M146" s="6"/>
      <c r="N146" s="6"/>
      <c r="O146" s="6"/>
      <c r="P146" s="6"/>
    </row>
    <row r="147" spans="1:16" ht="17.5" customHeight="1">
      <c r="A147" s="22">
        <v>1926</v>
      </c>
      <c r="B147" s="178">
        <f>'S-23 Kendrick GNP-GDP'!I26</f>
        <v>1103.6729387392095</v>
      </c>
      <c r="C147" s="178">
        <f>'S-23 Kendrick GNP-GDP'!G26/1000</f>
        <v>97.884975377164281</v>
      </c>
      <c r="D147" s="179">
        <f t="shared" si="8"/>
        <v>8.8690201545562992</v>
      </c>
      <c r="E147" s="43">
        <f>'S11b Population 1900 to 2022'!B39</f>
        <v>117397</v>
      </c>
      <c r="F147" s="177">
        <f t="shared" si="9"/>
        <v>9401.2022346329923</v>
      </c>
      <c r="G147" s="177">
        <f t="shared" si="10"/>
        <v>833.79452096019725</v>
      </c>
      <c r="H147" s="6"/>
      <c r="I147" s="49"/>
      <c r="J147" s="49"/>
      <c r="K147" s="49"/>
      <c r="L147" s="49"/>
      <c r="M147" s="6"/>
      <c r="N147" s="6"/>
      <c r="O147" s="6"/>
      <c r="P147" s="6"/>
    </row>
    <row r="148" spans="1:16" ht="17.5" customHeight="1">
      <c r="A148" s="22">
        <v>1927</v>
      </c>
      <c r="B148" s="178">
        <f>'S-23 Kendrick GNP-GDP'!I27</f>
        <v>1114.3324327853579</v>
      </c>
      <c r="C148" s="178">
        <f>'S-23 Kendrick GNP-GDP'!G27/1000</f>
        <v>96.466316119854753</v>
      </c>
      <c r="D148" s="179">
        <f t="shared" si="8"/>
        <v>8.6568705425480541</v>
      </c>
      <c r="E148" s="43">
        <f>'S11b Population 1900 to 2022'!B40</f>
        <v>119035</v>
      </c>
      <c r="F148" s="177">
        <f t="shared" si="9"/>
        <v>9361.3847421796781</v>
      </c>
      <c r="G148" s="177">
        <f t="shared" si="10"/>
        <v>810.40295812034071</v>
      </c>
      <c r="H148" s="6"/>
      <c r="I148" s="49"/>
      <c r="J148" s="49"/>
      <c r="K148" s="49"/>
      <c r="L148" s="49"/>
      <c r="M148" s="6"/>
      <c r="N148" s="6"/>
      <c r="O148" s="6"/>
      <c r="P148" s="6"/>
    </row>
    <row r="149" spans="1:16" ht="17.5" customHeight="1">
      <c r="A149" s="22">
        <v>1928</v>
      </c>
      <c r="B149" s="178">
        <f>'S-23 Kendrick GNP-GDP'!I28</f>
        <v>1127.1030603925944</v>
      </c>
      <c r="C149" s="178">
        <f>'S-23 Kendrick GNP-GDP'!G28/1000</f>
        <v>98.304574385343983</v>
      </c>
      <c r="D149" s="179">
        <f t="shared" si="8"/>
        <v>8.7218798209191597</v>
      </c>
      <c r="E149" s="43">
        <f>'S11b Population 1900 to 2022'!B41</f>
        <v>120509</v>
      </c>
      <c r="F149" s="177">
        <f t="shared" si="9"/>
        <v>9352.8538150063014</v>
      </c>
      <c r="G149" s="177">
        <f t="shared" si="10"/>
        <v>815.74466957110246</v>
      </c>
      <c r="H149" s="6"/>
      <c r="I149" s="49"/>
      <c r="J149" s="49"/>
      <c r="K149" s="49"/>
      <c r="L149" s="49"/>
      <c r="M149" s="6"/>
      <c r="N149" s="6"/>
      <c r="O149" s="6"/>
      <c r="P149" s="6"/>
    </row>
    <row r="150" spans="1:16" s="192" customFormat="1" ht="17.5" customHeight="1">
      <c r="A150" s="187">
        <v>1929</v>
      </c>
      <c r="B150" s="188">
        <f>'S1 - BEA estimates 1929-2022'!B7</f>
        <v>1191.0999999999999</v>
      </c>
      <c r="C150" s="188">
        <f>'S1 - BEA estimates 1929-2022'!C7</f>
        <v>104.556</v>
      </c>
      <c r="D150" s="188">
        <f>'S1 - BEA estimates 1929-2022'!D7</f>
        <v>8.7520000000000007</v>
      </c>
      <c r="E150" s="189">
        <f>'S11b Population 1900 to 2022'!B78</f>
        <v>121878</v>
      </c>
      <c r="F150" s="190">
        <f t="shared" si="9"/>
        <v>9772.8876417400988</v>
      </c>
      <c r="G150" s="190">
        <f t="shared" si="10"/>
        <v>857.87426771033324</v>
      </c>
      <c r="H150" s="191"/>
      <c r="I150" s="191"/>
      <c r="J150" s="191"/>
      <c r="K150" s="191"/>
      <c r="L150" s="191"/>
      <c r="M150" s="191"/>
      <c r="N150" s="191"/>
      <c r="O150" s="191"/>
      <c r="P150" s="191"/>
    </row>
    <row r="151" spans="1:16" ht="17.5" customHeight="1">
      <c r="A151" s="22">
        <v>1930</v>
      </c>
      <c r="B151" s="178">
        <f>'S1 - BEA estimates 1929-2022'!B8</f>
        <v>1089.8</v>
      </c>
      <c r="C151" s="178">
        <f>'S1 - BEA estimates 1929-2022'!C8</f>
        <v>92.16</v>
      </c>
      <c r="D151" s="178">
        <f>'S1 - BEA estimates 1929-2022'!D8</f>
        <v>8.4149999999999991</v>
      </c>
      <c r="E151" s="43">
        <f>'S11b Population 1900 to 2022'!B79</f>
        <v>123188</v>
      </c>
      <c r="F151" s="177">
        <f t="shared" si="9"/>
        <v>8846.6409065818098</v>
      </c>
      <c r="G151" s="177">
        <f t="shared" si="10"/>
        <v>748.12481735233951</v>
      </c>
      <c r="H151" s="6"/>
      <c r="I151" s="49"/>
      <c r="J151" s="49"/>
      <c r="K151" s="49"/>
      <c r="L151" s="49"/>
      <c r="M151" s="6"/>
      <c r="N151" s="6"/>
      <c r="O151" s="6"/>
      <c r="P151" s="6"/>
    </row>
    <row r="152" spans="1:16" ht="17.5" customHeight="1">
      <c r="A152" s="22">
        <v>1931</v>
      </c>
      <c r="B152" s="178">
        <f>'S1 - BEA estimates 1929-2022'!B9</f>
        <v>1020</v>
      </c>
      <c r="C152" s="178">
        <f>'S1 - BEA estimates 1929-2022'!C9</f>
        <v>77.391000000000005</v>
      </c>
      <c r="D152" s="178">
        <f>'S1 - BEA estimates 1929-2022'!D9</f>
        <v>7.5830000000000002</v>
      </c>
      <c r="E152" s="43">
        <f>'S11b Population 1900 to 2022'!B80</f>
        <v>124149</v>
      </c>
      <c r="F152" s="177">
        <f t="shared" si="9"/>
        <v>8215.9340792112707</v>
      </c>
      <c r="G152" s="177">
        <f t="shared" si="10"/>
        <v>623.37191600415633</v>
      </c>
      <c r="H152" s="6"/>
      <c r="I152" s="49"/>
      <c r="J152" s="49"/>
      <c r="K152" s="49"/>
      <c r="L152" s="49"/>
      <c r="M152" s="6"/>
      <c r="N152" s="6"/>
      <c r="O152" s="6"/>
      <c r="P152" s="6"/>
    </row>
    <row r="153" spans="1:16" ht="17.5" customHeight="1">
      <c r="A153" s="22">
        <v>1932</v>
      </c>
      <c r="B153" s="178">
        <f>'S1 - BEA estimates 1929-2022'!B10</f>
        <v>888.4</v>
      </c>
      <c r="C153" s="178">
        <f>'S1 - BEA estimates 1929-2022'!C10</f>
        <v>59.521999999999998</v>
      </c>
      <c r="D153" s="178">
        <f>'S1 - BEA estimates 1929-2022'!D10</f>
        <v>6.7190000000000003</v>
      </c>
      <c r="E153" s="43">
        <f>'S11b Population 1900 to 2022'!B81</f>
        <v>124949</v>
      </c>
      <c r="F153" s="177">
        <f t="shared" si="9"/>
        <v>7110.1009211758401</v>
      </c>
      <c r="G153" s="177">
        <f t="shared" si="10"/>
        <v>476.37035910651548</v>
      </c>
      <c r="H153" s="6"/>
      <c r="I153" s="49"/>
      <c r="J153" s="49"/>
      <c r="K153" s="49"/>
      <c r="L153" s="49"/>
      <c r="M153" s="6"/>
      <c r="N153" s="6"/>
      <c r="O153" s="6"/>
      <c r="P153" s="6"/>
    </row>
    <row r="154" spans="1:16" ht="17.5" customHeight="1">
      <c r="A154" s="22">
        <v>1933</v>
      </c>
      <c r="B154" s="178">
        <f>'S1 - BEA estimates 1929-2022'!B11</f>
        <v>877.4</v>
      </c>
      <c r="C154" s="178">
        <f>'S1 - BEA estimates 1929-2022'!C11</f>
        <v>57.154000000000003</v>
      </c>
      <c r="D154" s="178">
        <f>'S1 - BEA estimates 1929-2022'!D11</f>
        <v>6.5369999999999999</v>
      </c>
      <c r="E154" s="43">
        <f>'S11b Population 1900 to 2022'!B82</f>
        <v>125690</v>
      </c>
      <c r="F154" s="177">
        <f t="shared" si="9"/>
        <v>6980.6667197072156</v>
      </c>
      <c r="G154" s="177">
        <f t="shared" si="10"/>
        <v>454.72193491924583</v>
      </c>
      <c r="H154" s="6"/>
      <c r="I154" s="49"/>
      <c r="J154" s="49"/>
      <c r="K154" s="49"/>
      <c r="L154" s="49"/>
      <c r="M154" s="6"/>
      <c r="N154" s="6"/>
      <c r="O154" s="6"/>
      <c r="P154" s="6"/>
    </row>
    <row r="155" spans="1:16" ht="17.5" customHeight="1">
      <c r="A155" s="22">
        <v>1934</v>
      </c>
      <c r="B155" s="178">
        <f>'S1 - BEA estimates 1929-2022'!B12</f>
        <v>972.3</v>
      </c>
      <c r="C155" s="178">
        <f>'S1 - BEA estimates 1929-2022'!C12</f>
        <v>66.8</v>
      </c>
      <c r="D155" s="178">
        <f>'S1 - BEA estimates 1929-2022'!D12</f>
        <v>6.8550000000000004</v>
      </c>
      <c r="E155" s="43">
        <f>'S11b Population 1900 to 2022'!B83</f>
        <v>126485</v>
      </c>
      <c r="F155" s="177">
        <f t="shared" si="9"/>
        <v>7687.0775190734075</v>
      </c>
      <c r="G155" s="177">
        <f t="shared" si="10"/>
        <v>528.12586472704277</v>
      </c>
      <c r="H155" s="6"/>
      <c r="I155" s="49"/>
      <c r="J155" s="49"/>
      <c r="K155" s="49"/>
      <c r="L155" s="49"/>
      <c r="M155" s="6"/>
      <c r="N155" s="6"/>
      <c r="O155" s="6"/>
      <c r="P155" s="6"/>
    </row>
    <row r="156" spans="1:16" ht="17.5" customHeight="1">
      <c r="A156" s="22">
        <v>1935</v>
      </c>
      <c r="B156" s="178">
        <f>'S1 - BEA estimates 1929-2022'!B13</f>
        <v>1058.8</v>
      </c>
      <c r="C156" s="178">
        <f>'S1 - BEA estimates 1929-2022'!C13</f>
        <v>74.241</v>
      </c>
      <c r="D156" s="178">
        <f>'S1 - BEA estimates 1929-2022'!D13</f>
        <v>6.9930000000000003</v>
      </c>
      <c r="E156" s="43">
        <f>'S11b Population 1900 to 2022'!B84</f>
        <v>127362</v>
      </c>
      <c r="F156" s="177">
        <f t="shared" si="9"/>
        <v>8313.3116628193657</v>
      </c>
      <c r="G156" s="177">
        <f t="shared" si="10"/>
        <v>582.91327083431486</v>
      </c>
      <c r="H156" s="6"/>
      <c r="I156" s="49"/>
      <c r="J156" s="49"/>
      <c r="K156" s="49"/>
      <c r="L156" s="49"/>
      <c r="M156" s="6"/>
      <c r="N156" s="6"/>
      <c r="O156" s="6"/>
      <c r="P156" s="6"/>
    </row>
    <row r="157" spans="1:16" ht="17.5" customHeight="1">
      <c r="A157" s="22">
        <v>1936</v>
      </c>
      <c r="B157" s="178">
        <f>'S1 - BEA estimates 1929-2022'!B14</f>
        <v>1195.3</v>
      </c>
      <c r="C157" s="178">
        <f>'S1 - BEA estimates 1929-2022'!C14</f>
        <v>84.83</v>
      </c>
      <c r="D157" s="178">
        <f>'S1 - BEA estimates 1929-2022'!D14</f>
        <v>7.08</v>
      </c>
      <c r="E157" s="43">
        <f>'S11b Population 1900 to 2022'!B85</f>
        <v>128181</v>
      </c>
      <c r="F157" s="177">
        <f t="shared" si="9"/>
        <v>9325.0949828757766</v>
      </c>
      <c r="G157" s="177">
        <f t="shared" si="10"/>
        <v>661.79855048720174</v>
      </c>
      <c r="H157" s="6"/>
      <c r="I157" s="49"/>
      <c r="J157" s="49"/>
      <c r="K157" s="49"/>
      <c r="L157" s="49"/>
      <c r="M157" s="6"/>
      <c r="N157" s="6"/>
      <c r="O157" s="6"/>
      <c r="P157" s="6"/>
    </row>
    <row r="158" spans="1:16" ht="17.5" customHeight="1">
      <c r="A158" s="22">
        <v>1937</v>
      </c>
      <c r="B158" s="178">
        <f>'S1 - BEA estimates 1929-2022'!B15</f>
        <v>1256.5</v>
      </c>
      <c r="C158" s="178">
        <f>'S1 - BEA estimates 1929-2022'!C15</f>
        <v>93.003</v>
      </c>
      <c r="D158" s="178">
        <f>'S1 - BEA estimates 1929-2022'!D15</f>
        <v>7.3390000000000004</v>
      </c>
      <c r="E158" s="43">
        <f>'S11b Population 1900 to 2022'!B86</f>
        <v>128961</v>
      </c>
      <c r="F158" s="177">
        <f t="shared" si="9"/>
        <v>9743.255712967486</v>
      </c>
      <c r="G158" s="177">
        <f t="shared" si="10"/>
        <v>721.17151697024678</v>
      </c>
      <c r="H158" s="6"/>
      <c r="I158" s="49"/>
      <c r="J158" s="49"/>
      <c r="K158" s="49"/>
      <c r="L158" s="49"/>
      <c r="M158" s="6"/>
      <c r="N158" s="6"/>
      <c r="O158" s="6"/>
      <c r="P158" s="6"/>
    </row>
    <row r="159" spans="1:16" ht="17.5" customHeight="1">
      <c r="A159" s="22">
        <v>1938</v>
      </c>
      <c r="B159" s="178">
        <f>'S1 - BEA estimates 1929-2022'!B16</f>
        <v>1214.9000000000001</v>
      </c>
      <c r="C159" s="178">
        <f>'S1 - BEA estimates 1929-2022'!C16</f>
        <v>87.352000000000004</v>
      </c>
      <c r="D159" s="178">
        <f>'S1 - BEA estimates 1929-2022'!D16</f>
        <v>7.2030000000000003</v>
      </c>
      <c r="E159" s="43">
        <f>'S11b Population 1900 to 2022'!B87</f>
        <v>129969</v>
      </c>
      <c r="F159" s="177">
        <f t="shared" si="9"/>
        <v>9347.6136617193333</v>
      </c>
      <c r="G159" s="177">
        <f t="shared" si="10"/>
        <v>672.09873123591012</v>
      </c>
      <c r="H159" s="6"/>
      <c r="I159" s="49"/>
      <c r="J159" s="49"/>
      <c r="K159" s="49"/>
      <c r="L159" s="49"/>
      <c r="M159" s="6"/>
      <c r="N159" s="6"/>
      <c r="O159" s="6"/>
      <c r="P159" s="6"/>
    </row>
    <row r="160" spans="1:16" ht="17.5" customHeight="1">
      <c r="A160" s="22">
        <v>1939</v>
      </c>
      <c r="B160" s="178">
        <f>'S1 - BEA estimates 1929-2022'!B17</f>
        <v>1312.4</v>
      </c>
      <c r="C160" s="178">
        <f>'S1 - BEA estimates 1929-2022'!C17</f>
        <v>93.436999999999998</v>
      </c>
      <c r="D160" s="178">
        <f>'S1 - BEA estimates 1929-2022'!D17</f>
        <v>7.1130000000000004</v>
      </c>
      <c r="E160" s="43">
        <f>'S11b Population 1900 to 2022'!B88</f>
        <v>131028</v>
      </c>
      <c r="F160" s="177">
        <f t="shared" si="9"/>
        <v>10016.179747840157</v>
      </c>
      <c r="G160" s="177">
        <f t="shared" si="10"/>
        <v>713.10712214183229</v>
      </c>
      <c r="H160" s="6"/>
      <c r="I160" s="49"/>
      <c r="J160" s="49"/>
      <c r="K160" s="49"/>
      <c r="L160" s="49"/>
      <c r="M160" s="6"/>
      <c r="N160" s="6"/>
      <c r="O160" s="6"/>
      <c r="P160" s="6"/>
    </row>
    <row r="161" spans="1:16" ht="17.5" customHeight="1">
      <c r="A161" s="22">
        <v>1940</v>
      </c>
      <c r="B161" s="178">
        <f>'S1 - BEA estimates 1929-2022'!B18</f>
        <v>1428.1</v>
      </c>
      <c r="C161" s="178">
        <f>'S1 - BEA estimates 1929-2022'!C18</f>
        <v>102.899</v>
      </c>
      <c r="D161" s="178">
        <f>'S1 - BEA estimates 1929-2022'!D18</f>
        <v>7.1769999999999996</v>
      </c>
      <c r="E161" s="43">
        <f>'S11b Population 1900 to 2022'!B89</f>
        <v>132122</v>
      </c>
      <c r="F161" s="177">
        <f t="shared" si="9"/>
        <v>10808.949304430753</v>
      </c>
      <c r="G161" s="177">
        <f t="shared" si="10"/>
        <v>778.81806209412514</v>
      </c>
      <c r="H161" s="6"/>
      <c r="I161" s="49"/>
      <c r="J161" s="49"/>
      <c r="K161" s="49"/>
      <c r="L161" s="49"/>
      <c r="M161" s="6"/>
      <c r="N161" s="6"/>
      <c r="O161" s="6"/>
      <c r="P161" s="6"/>
    </row>
    <row r="162" spans="1:16" ht="17.5" customHeight="1">
      <c r="A162" s="22">
        <v>1941</v>
      </c>
      <c r="B162" s="178">
        <f>'S1 - BEA estimates 1929-2022'!B19</f>
        <v>1681</v>
      </c>
      <c r="C162" s="178">
        <f>'S1 - BEA estimates 1929-2022'!C19</f>
        <v>129.309</v>
      </c>
      <c r="D162" s="178">
        <f>'S1 - BEA estimates 1929-2022'!D19</f>
        <v>7.6479999999999997</v>
      </c>
      <c r="E162" s="43">
        <f>'S11b Population 1900 to 2022'!B90</f>
        <v>133402</v>
      </c>
      <c r="F162" s="177">
        <f t="shared" si="9"/>
        <v>12601.010479603005</v>
      </c>
      <c r="G162" s="177">
        <f t="shared" si="10"/>
        <v>969.31830107494636</v>
      </c>
      <c r="H162" s="6"/>
      <c r="I162" s="49"/>
      <c r="J162" s="49"/>
      <c r="K162" s="49"/>
      <c r="L162" s="49"/>
      <c r="M162" s="6"/>
      <c r="N162" s="6"/>
      <c r="O162" s="6"/>
      <c r="P162" s="6"/>
    </row>
    <row r="163" spans="1:16" ht="17.5" customHeight="1">
      <c r="A163" s="22">
        <v>1942</v>
      </c>
      <c r="B163" s="178">
        <f>'S1 - BEA estimates 1929-2022'!B20</f>
        <v>1998.5</v>
      </c>
      <c r="C163" s="178">
        <f>'S1 - BEA estimates 1929-2022'!C20</f>
        <v>165.952</v>
      </c>
      <c r="D163" s="178">
        <f>'S1 - BEA estimates 1929-2022'!D20</f>
        <v>8.2850000000000001</v>
      </c>
      <c r="E163" s="43">
        <f>'S11b Population 1900 to 2022'!B91</f>
        <v>134860</v>
      </c>
      <c r="F163" s="177">
        <f t="shared" si="9"/>
        <v>14819.07162983835</v>
      </c>
      <c r="G163" s="177">
        <f t="shared" si="10"/>
        <v>1230.5502002076228</v>
      </c>
      <c r="H163" s="6"/>
      <c r="I163" s="49"/>
      <c r="J163" s="49"/>
      <c r="K163" s="49"/>
      <c r="L163" s="49"/>
      <c r="M163" s="6"/>
      <c r="N163" s="6"/>
      <c r="O163" s="6"/>
      <c r="P163" s="6"/>
    </row>
    <row r="164" spans="1:16" ht="17.5" customHeight="1">
      <c r="A164" s="22">
        <v>1943</v>
      </c>
      <c r="B164" s="178">
        <f>'S1 - BEA estimates 1929-2022'!B21</f>
        <v>2338.8000000000002</v>
      </c>
      <c r="C164" s="178">
        <f>'S1 - BEA estimates 1929-2022'!C21</f>
        <v>203.084</v>
      </c>
      <c r="D164" s="178">
        <f>'S1 - BEA estimates 1929-2022'!D21</f>
        <v>8.68</v>
      </c>
      <c r="E164" s="43">
        <f>'S11b Population 1900 to 2022'!B92</f>
        <v>136739</v>
      </c>
      <c r="F164" s="177">
        <f t="shared" si="9"/>
        <v>17104.118064341557</v>
      </c>
      <c r="G164" s="177">
        <f t="shared" si="10"/>
        <v>1485.1944214891143</v>
      </c>
      <c r="H164" s="6"/>
      <c r="I164" s="49"/>
      <c r="J164" s="49"/>
      <c r="K164" s="49"/>
      <c r="L164" s="49"/>
      <c r="M164" s="6"/>
      <c r="N164" s="6"/>
      <c r="O164" s="6"/>
      <c r="P164" s="6"/>
    </row>
    <row r="165" spans="1:16" ht="17.5" customHeight="1">
      <c r="A165" s="22">
        <v>1944</v>
      </c>
      <c r="B165" s="178">
        <f>'S1 - BEA estimates 1929-2022'!B22</f>
        <v>2524.8000000000002</v>
      </c>
      <c r="C165" s="178">
        <f>'S1 - BEA estimates 1929-2022'!C22</f>
        <v>224.447</v>
      </c>
      <c r="D165" s="178">
        <f>'S1 - BEA estimates 1929-2022'!D22</f>
        <v>8.8879999999999999</v>
      </c>
      <c r="E165" s="43">
        <f>'S11b Population 1900 to 2022'!B93</f>
        <v>138397</v>
      </c>
      <c r="F165" s="177">
        <f t="shared" si="9"/>
        <v>18243.170010910642</v>
      </c>
      <c r="G165" s="177">
        <f t="shared" si="10"/>
        <v>1621.7620324139973</v>
      </c>
      <c r="H165" s="6"/>
      <c r="I165" s="49"/>
      <c r="J165" s="49"/>
      <c r="K165" s="49"/>
      <c r="L165" s="49"/>
      <c r="M165" s="6"/>
      <c r="N165" s="6"/>
      <c r="O165" s="6"/>
      <c r="P165" s="6"/>
    </row>
    <row r="166" spans="1:16" ht="17.5" customHeight="1">
      <c r="A166" s="22">
        <v>1945</v>
      </c>
      <c r="B166" s="178">
        <f>'S1 - BEA estimates 1929-2022'!B23</f>
        <v>2500.1</v>
      </c>
      <c r="C166" s="178">
        <f>'S1 - BEA estimates 1929-2022'!C23</f>
        <v>228.00700000000001</v>
      </c>
      <c r="D166" s="178">
        <f>'S1 - BEA estimates 1929-2022'!D23</f>
        <v>9.11</v>
      </c>
      <c r="E166" s="43">
        <f>'S11b Population 1900 to 2022'!B94</f>
        <v>139928</v>
      </c>
      <c r="F166" s="177">
        <f t="shared" si="9"/>
        <v>17867.045909324796</v>
      </c>
      <c r="G166" s="177">
        <f t="shared" si="10"/>
        <v>1629.4594362815162</v>
      </c>
      <c r="H166" s="6"/>
      <c r="I166" s="49"/>
      <c r="J166" s="49"/>
      <c r="K166" s="49"/>
      <c r="L166" s="49"/>
      <c r="M166" s="6"/>
      <c r="N166" s="6"/>
      <c r="O166" s="6"/>
      <c r="P166" s="6"/>
    </row>
    <row r="167" spans="1:16" ht="17.5" customHeight="1">
      <c r="A167" s="22">
        <v>1946</v>
      </c>
      <c r="B167" s="178">
        <f>'S1 - BEA estimates 1929-2022'!B24</f>
        <v>2209.9</v>
      </c>
      <c r="C167" s="178">
        <f>'S1 - BEA estimates 1929-2022'!C24</f>
        <v>227.535</v>
      </c>
      <c r="D167" s="178">
        <f>'S1 - BEA estimates 1929-2022'!D24</f>
        <v>10.257</v>
      </c>
      <c r="E167" s="43">
        <f>'S11b Population 1900 to 2022'!B95</f>
        <v>141389</v>
      </c>
      <c r="F167" s="177">
        <f t="shared" si="9"/>
        <v>15629.928778052041</v>
      </c>
      <c r="G167" s="177">
        <f t="shared" si="10"/>
        <v>1609.2836076356718</v>
      </c>
      <c r="H167" s="6"/>
      <c r="I167" s="49"/>
      <c r="J167" s="49"/>
      <c r="K167" s="49"/>
      <c r="L167" s="49"/>
      <c r="M167" s="6"/>
      <c r="N167" s="6"/>
      <c r="O167" s="6"/>
      <c r="P167" s="6"/>
    </row>
    <row r="168" spans="1:16" ht="17.5" customHeight="1">
      <c r="A168" s="22">
        <v>1947</v>
      </c>
      <c r="B168" s="178">
        <f>'S1 - BEA estimates 1929-2022'!B25</f>
        <v>2184.6</v>
      </c>
      <c r="C168" s="178">
        <f>'S1 - BEA estimates 1929-2022'!C25</f>
        <v>249.61600000000001</v>
      </c>
      <c r="D168" s="178">
        <f>'S1 - BEA estimates 1929-2022'!D25</f>
        <v>11.41</v>
      </c>
      <c r="E168" s="43">
        <f>'S11b Population 1900 to 2022'!B96</f>
        <v>144126</v>
      </c>
      <c r="F168" s="177">
        <f t="shared" si="9"/>
        <v>15157.570459181548</v>
      </c>
      <c r="G168" s="177">
        <f t="shared" si="10"/>
        <v>1731.9290065637013</v>
      </c>
      <c r="H168" s="6"/>
      <c r="I168" s="49"/>
      <c r="J168" s="49"/>
      <c r="K168" s="49"/>
      <c r="L168" s="49"/>
      <c r="M168" s="6"/>
      <c r="N168" s="6"/>
      <c r="O168" s="6"/>
      <c r="P168" s="6"/>
    </row>
    <row r="169" spans="1:16" ht="17.5" customHeight="1">
      <c r="A169" s="22">
        <v>1948</v>
      </c>
      <c r="B169" s="178">
        <f>'S1 - BEA estimates 1929-2022'!B26</f>
        <v>2274.6</v>
      </c>
      <c r="C169" s="178">
        <f>'S1 - BEA estimates 1929-2022'!C26</f>
        <v>274.46800000000002</v>
      </c>
      <c r="D169" s="178">
        <f>'S1 - BEA estimates 1929-2022'!D26</f>
        <v>12.057</v>
      </c>
      <c r="E169" s="43">
        <f>'S11b Population 1900 to 2022'!B97</f>
        <v>146631</v>
      </c>
      <c r="F169" s="177">
        <f t="shared" si="9"/>
        <v>15512.408699388259</v>
      </c>
      <c r="G169" s="177">
        <f t="shared" si="10"/>
        <v>1871.8279217900717</v>
      </c>
      <c r="H169" s="6"/>
      <c r="I169" s="49"/>
      <c r="J169" s="49"/>
      <c r="K169" s="49"/>
      <c r="L169" s="49"/>
      <c r="M169" s="6"/>
      <c r="N169" s="6"/>
      <c r="O169" s="6"/>
      <c r="P169" s="6"/>
    </row>
    <row r="170" spans="1:16" ht="17.5" customHeight="1">
      <c r="A170" s="22">
        <v>1949</v>
      </c>
      <c r="B170" s="178">
        <f>'S1 - BEA estimates 1929-2022'!B27</f>
        <v>2261.9</v>
      </c>
      <c r="C170" s="178">
        <f>'S1 - BEA estimates 1929-2022'!C27</f>
        <v>272.47500000000002</v>
      </c>
      <c r="D170" s="178">
        <f>'S1 - BEA estimates 1929-2022'!D27</f>
        <v>12.052</v>
      </c>
      <c r="E170" s="43">
        <f>'S11b Population 1900 to 2022'!B98</f>
        <v>149188</v>
      </c>
      <c r="F170" s="177">
        <f t="shared" si="9"/>
        <v>15161.407083679653</v>
      </c>
      <c r="G170" s="177">
        <f t="shared" si="10"/>
        <v>1826.3868407646728</v>
      </c>
      <c r="H170" s="6"/>
      <c r="I170" s="49"/>
      <c r="J170" s="49"/>
      <c r="K170" s="49"/>
      <c r="L170" s="49"/>
      <c r="M170" s="6"/>
      <c r="N170" s="6"/>
      <c r="O170" s="6"/>
      <c r="P170" s="6"/>
    </row>
    <row r="171" spans="1:16" ht="17.5" customHeight="1">
      <c r="A171" s="22">
        <v>1950</v>
      </c>
      <c r="B171" s="178">
        <f>'S1 - BEA estimates 1929-2022'!B28</f>
        <v>2458.5</v>
      </c>
      <c r="C171" s="178">
        <f>'S1 - BEA estimates 1929-2022'!C28</f>
        <v>299.827</v>
      </c>
      <c r="D171" s="178">
        <f>'S1 - BEA estimates 1929-2022'!D28</f>
        <v>12.166</v>
      </c>
      <c r="E171" s="43">
        <f>'S11b Population 1900 to 2022'!B99</f>
        <v>151684</v>
      </c>
      <c r="F171" s="177">
        <f t="shared" si="9"/>
        <v>16208.037762717227</v>
      </c>
      <c r="G171" s="177">
        <f t="shared" si="10"/>
        <v>1976.6554152052954</v>
      </c>
      <c r="H171" s="6"/>
      <c r="I171" s="49"/>
      <c r="J171" s="49"/>
      <c r="K171" s="49"/>
      <c r="L171" s="49"/>
      <c r="M171" s="6"/>
      <c r="N171" s="6"/>
      <c r="O171" s="6"/>
      <c r="P171" s="6"/>
    </row>
    <row r="172" spans="1:16" ht="17.5" customHeight="1">
      <c r="A172" s="22">
        <v>1951</v>
      </c>
      <c r="B172" s="178">
        <f>'S1 - BEA estimates 1929-2022'!B29</f>
        <v>2656.3</v>
      </c>
      <c r="C172" s="178">
        <f>'S1 - BEA estimates 1929-2022'!C29</f>
        <v>346.91399999999999</v>
      </c>
      <c r="D172" s="178">
        <f>'S1 - BEA estimates 1929-2022'!D29</f>
        <v>12.991</v>
      </c>
      <c r="E172" s="43">
        <f>'S11b Population 1900 to 2022'!B100</f>
        <v>154287</v>
      </c>
      <c r="F172" s="177">
        <f t="shared" si="9"/>
        <v>17216.615787461033</v>
      </c>
      <c r="G172" s="177">
        <f t="shared" si="10"/>
        <v>2248.4979291839231</v>
      </c>
      <c r="H172" s="6"/>
      <c r="I172" s="49"/>
      <c r="J172" s="49"/>
      <c r="K172" s="49"/>
      <c r="L172" s="49"/>
      <c r="M172" s="6"/>
      <c r="N172" s="6"/>
      <c r="O172" s="6"/>
      <c r="P172" s="6"/>
    </row>
    <row r="173" spans="1:16" ht="17.5" customHeight="1">
      <c r="A173" s="22">
        <v>1952</v>
      </c>
      <c r="B173" s="178">
        <f>'S1 - BEA estimates 1929-2022'!B30</f>
        <v>2764.8</v>
      </c>
      <c r="C173" s="178">
        <f>'S1 - BEA estimates 1929-2022'!C30</f>
        <v>367.34100000000001</v>
      </c>
      <c r="D173" s="178">
        <f>'S1 - BEA estimates 1929-2022'!D30</f>
        <v>13.273999999999999</v>
      </c>
      <c r="E173" s="43">
        <f>'S11b Population 1900 to 2022'!B101</f>
        <v>156954</v>
      </c>
      <c r="F173" s="177">
        <f t="shared" si="9"/>
        <v>17615.352268817616</v>
      </c>
      <c r="G173" s="177">
        <f t="shared" si="10"/>
        <v>2340.4373255858404</v>
      </c>
      <c r="H173" s="6"/>
      <c r="I173" s="49"/>
      <c r="J173" s="49"/>
      <c r="K173" s="49"/>
      <c r="L173" s="49"/>
      <c r="M173" s="6"/>
      <c r="N173" s="6"/>
      <c r="O173" s="6"/>
      <c r="P173" s="6"/>
    </row>
    <row r="174" spans="1:16" ht="17.5" customHeight="1">
      <c r="A174" s="22">
        <v>1953</v>
      </c>
      <c r="B174" s="178">
        <f>'S1 - BEA estimates 1929-2022'!B31</f>
        <v>2894.4</v>
      </c>
      <c r="C174" s="178">
        <f>'S1 - BEA estimates 1929-2022'!C31</f>
        <v>389.21800000000002</v>
      </c>
      <c r="D174" s="178">
        <f>'S1 - BEA estimates 1929-2022'!D31</f>
        <v>13.444000000000001</v>
      </c>
      <c r="E174" s="43">
        <f>'S11b Population 1900 to 2022'!B102</f>
        <v>159565</v>
      </c>
      <c r="F174" s="177">
        <f t="shared" si="9"/>
        <v>18139.316266098456</v>
      </c>
      <c r="G174" s="177">
        <f t="shared" si="10"/>
        <v>2439.2441951555793</v>
      </c>
      <c r="H174" s="6"/>
      <c r="I174" s="49"/>
      <c r="J174" s="49"/>
      <c r="K174" s="49"/>
      <c r="L174" s="49"/>
      <c r="M174" s="6"/>
      <c r="N174" s="6"/>
      <c r="O174" s="6"/>
      <c r="P174" s="6"/>
    </row>
    <row r="175" spans="1:16" ht="17.5" customHeight="1">
      <c r="A175" s="22">
        <v>1954</v>
      </c>
      <c r="B175" s="178">
        <f>'S1 - BEA estimates 1929-2022'!B32</f>
        <v>2877.7</v>
      </c>
      <c r="C175" s="178">
        <f>'S1 - BEA estimates 1929-2022'!C32</f>
        <v>390.54899999999998</v>
      </c>
      <c r="D175" s="178">
        <f>'S1 - BEA estimates 1929-2022'!D32</f>
        <v>13.581</v>
      </c>
      <c r="E175" s="43">
        <f>'S11b Population 1900 to 2022'!B103</f>
        <v>162391</v>
      </c>
      <c r="F175" s="177">
        <f t="shared" si="9"/>
        <v>17720.809650781139</v>
      </c>
      <c r="G175" s="177">
        <f t="shared" si="10"/>
        <v>2404.9916559415237</v>
      </c>
      <c r="H175" s="6"/>
      <c r="I175" s="49"/>
      <c r="J175" s="49"/>
      <c r="K175" s="49"/>
      <c r="L175" s="49"/>
      <c r="M175" s="6"/>
      <c r="N175" s="6"/>
      <c r="O175" s="6"/>
      <c r="P175" s="6"/>
    </row>
    <row r="176" spans="1:16" ht="17.5" customHeight="1">
      <c r="A176" s="22">
        <v>1955</v>
      </c>
      <c r="B176" s="178">
        <f>'S1 - BEA estimates 1929-2022'!B33</f>
        <v>3083</v>
      </c>
      <c r="C176" s="178">
        <f>'S1 - BEA estimates 1929-2022'!C33</f>
        <v>425.47800000000001</v>
      </c>
      <c r="D176" s="178">
        <f>'S1 - BEA estimates 1929-2022'!D33</f>
        <v>13.773</v>
      </c>
      <c r="E176" s="43">
        <f>'S11b Population 1900 to 2022'!B104</f>
        <v>165275</v>
      </c>
      <c r="F176" s="177">
        <f t="shared" si="9"/>
        <v>18653.758886703978</v>
      </c>
      <c r="G176" s="177">
        <f t="shared" si="10"/>
        <v>2574.3639388897295</v>
      </c>
      <c r="H176" s="6"/>
      <c r="I176" s="49"/>
      <c r="J176" s="49"/>
      <c r="K176" s="49"/>
      <c r="L176" s="49"/>
      <c r="M176" s="6"/>
      <c r="N176" s="6"/>
      <c r="O176" s="6"/>
      <c r="P176" s="6"/>
    </row>
    <row r="177" spans="1:16" ht="17.5" customHeight="1">
      <c r="A177" s="22">
        <v>1956</v>
      </c>
      <c r="B177" s="178">
        <f>'S1 - BEA estimates 1929-2022'!B34</f>
        <v>3148.8</v>
      </c>
      <c r="C177" s="178">
        <f>'S1 - BEA estimates 1929-2022'!C34</f>
        <v>449.35300000000001</v>
      </c>
      <c r="D177" s="178">
        <f>'S1 - BEA estimates 1929-2022'!D34</f>
        <v>14.244</v>
      </c>
      <c r="E177" s="43">
        <f>'S11b Population 1900 to 2022'!B105</f>
        <v>168221</v>
      </c>
      <c r="F177" s="177">
        <f t="shared" si="9"/>
        <v>18718.233752028584</v>
      </c>
      <c r="G177" s="177">
        <f t="shared" si="10"/>
        <v>2671.2063297685781</v>
      </c>
      <c r="H177" s="6"/>
      <c r="I177" s="49"/>
      <c r="J177" s="49"/>
      <c r="K177" s="49"/>
      <c r="L177" s="49"/>
      <c r="M177" s="6"/>
      <c r="N177" s="6"/>
      <c r="O177" s="6"/>
      <c r="P177" s="6"/>
    </row>
    <row r="178" spans="1:16" ht="17.5" customHeight="1">
      <c r="A178" s="22">
        <v>1957</v>
      </c>
      <c r="B178" s="178">
        <f>'S1 - BEA estimates 1929-2022'!B35</f>
        <v>3215.1</v>
      </c>
      <c r="C178" s="178">
        <f>'S1 - BEA estimates 1929-2022'!C35</f>
        <v>474.03899999999999</v>
      </c>
      <c r="D178" s="178">
        <f>'S1 - BEA estimates 1929-2022'!D35</f>
        <v>14.742000000000001</v>
      </c>
      <c r="E178" s="43">
        <f>'S11b Population 1900 to 2022'!B106</f>
        <v>171274</v>
      </c>
      <c r="F178" s="177">
        <f t="shared" si="9"/>
        <v>18771.67579434123</v>
      </c>
      <c r="G178" s="177">
        <f t="shared" si="10"/>
        <v>2767.7230636290387</v>
      </c>
      <c r="H178" s="6"/>
      <c r="I178" s="49"/>
      <c r="J178" s="49"/>
      <c r="K178" s="49"/>
      <c r="L178" s="49"/>
      <c r="M178" s="6"/>
      <c r="N178" s="6"/>
      <c r="O178" s="6"/>
      <c r="P178" s="6"/>
    </row>
    <row r="179" spans="1:16" ht="17.5" customHeight="1">
      <c r="A179" s="22">
        <v>1958</v>
      </c>
      <c r="B179" s="178">
        <f>'S1 - BEA estimates 1929-2022'!B36</f>
        <v>3191.2</v>
      </c>
      <c r="C179" s="178">
        <f>'S1 - BEA estimates 1929-2022'!C36</f>
        <v>481.22899999999998</v>
      </c>
      <c r="D179" s="178">
        <f>'S1 - BEA estimates 1929-2022'!D36</f>
        <v>15.086</v>
      </c>
      <c r="E179" s="43">
        <f>'S11b Population 1900 to 2022'!B107</f>
        <v>174141</v>
      </c>
      <c r="F179" s="177">
        <f t="shared" si="9"/>
        <v>18325.380008154309</v>
      </c>
      <c r="G179" s="177">
        <f t="shared" si="10"/>
        <v>2763.4445650363787</v>
      </c>
      <c r="H179" s="6"/>
      <c r="I179" s="49"/>
      <c r="J179" s="49"/>
      <c r="K179" s="49"/>
      <c r="L179" s="49"/>
      <c r="M179" s="6"/>
      <c r="N179" s="6"/>
      <c r="O179" s="6"/>
      <c r="P179" s="6"/>
    </row>
    <row r="180" spans="1:16" ht="17.5" customHeight="1">
      <c r="A180" s="22">
        <v>1959</v>
      </c>
      <c r="B180" s="178">
        <f>'S1 - BEA estimates 1929-2022'!B37</f>
        <v>3412.4</v>
      </c>
      <c r="C180" s="178">
        <f>'S1 - BEA estimates 1929-2022'!C37</f>
        <v>521.654</v>
      </c>
      <c r="D180" s="178">
        <f>'S1 - BEA estimates 1929-2022'!D37</f>
        <v>15.285</v>
      </c>
      <c r="E180" s="43">
        <f>'S11b Population 1900 to 2022'!B108</f>
        <v>177130</v>
      </c>
      <c r="F180" s="177">
        <f t="shared" si="9"/>
        <v>19264.946649353584</v>
      </c>
      <c r="G180" s="177">
        <f t="shared" si="10"/>
        <v>2945.0347202619541</v>
      </c>
      <c r="H180" s="6"/>
      <c r="I180" s="49"/>
      <c r="J180" s="49"/>
      <c r="K180" s="49"/>
      <c r="L180" s="49"/>
      <c r="M180" s="6"/>
      <c r="N180" s="6"/>
      <c r="O180" s="6"/>
      <c r="P180" s="6"/>
    </row>
    <row r="181" spans="1:16" ht="17.5" customHeight="1">
      <c r="A181" s="22">
        <v>1960</v>
      </c>
      <c r="B181" s="178">
        <f>'S1 - BEA estimates 1929-2022'!B38</f>
        <v>3500.3</v>
      </c>
      <c r="C181" s="178">
        <f>'S1 - BEA estimates 1929-2022'!C38</f>
        <v>542.38199999999995</v>
      </c>
      <c r="D181" s="178">
        <f>'S1 - BEA estimates 1929-2022'!D38</f>
        <v>15.494</v>
      </c>
      <c r="E181" s="43">
        <f>'S11b Population 1900 to 2022'!B109</f>
        <v>180760</v>
      </c>
      <c r="F181" s="177">
        <f t="shared" si="9"/>
        <v>19364.350520026557</v>
      </c>
      <c r="G181" s="177">
        <f t="shared" si="10"/>
        <v>3000.5642841336576</v>
      </c>
      <c r="H181" s="6"/>
      <c r="I181" s="49"/>
      <c r="J181" s="49"/>
      <c r="K181" s="49"/>
      <c r="L181" s="49"/>
      <c r="M181" s="6"/>
      <c r="N181" s="6"/>
      <c r="O181" s="6"/>
      <c r="P181" s="6"/>
    </row>
    <row r="182" spans="1:16" ht="17.5" customHeight="1">
      <c r="A182" s="22">
        <v>1961</v>
      </c>
      <c r="B182" s="178">
        <f>'S1 - BEA estimates 1929-2022'!B39</f>
        <v>3590.1</v>
      </c>
      <c r="C182" s="178">
        <f>'S1 - BEA estimates 1929-2022'!C39</f>
        <v>562.20899999999995</v>
      </c>
      <c r="D182" s="178">
        <f>'S1 - BEA estimates 1929-2022'!D39</f>
        <v>15.659000000000001</v>
      </c>
      <c r="E182" s="43">
        <f>'S11b Population 1900 to 2022'!B110</f>
        <v>183742</v>
      </c>
      <c r="F182" s="177">
        <f t="shared" si="9"/>
        <v>19538.809852945978</v>
      </c>
      <c r="G182" s="177">
        <f t="shared" si="10"/>
        <v>3059.7740309782189</v>
      </c>
      <c r="H182" s="6"/>
      <c r="I182" s="49"/>
      <c r="J182" s="49"/>
      <c r="K182" s="49"/>
      <c r="L182" s="49"/>
      <c r="M182" s="6"/>
      <c r="N182" s="6"/>
      <c r="O182" s="6"/>
      <c r="P182" s="6"/>
    </row>
    <row r="183" spans="1:16" ht="17.5" customHeight="1">
      <c r="A183" s="22">
        <v>1962</v>
      </c>
      <c r="B183" s="178">
        <f>'S1 - BEA estimates 1929-2022'!B40</f>
        <v>3810.1</v>
      </c>
      <c r="C183" s="178">
        <f>'S1 - BEA estimates 1929-2022'!C40</f>
        <v>603.92200000000003</v>
      </c>
      <c r="D183" s="178">
        <f>'S1 - BEA estimates 1929-2022'!D40</f>
        <v>15.849</v>
      </c>
      <c r="E183" s="43">
        <f>'S11b Population 1900 to 2022'!B111</f>
        <v>186590</v>
      </c>
      <c r="F183" s="177">
        <f t="shared" si="9"/>
        <v>20419.636636475698</v>
      </c>
      <c r="G183" s="177">
        <f t="shared" si="10"/>
        <v>3236.6257570073426</v>
      </c>
      <c r="H183" s="6"/>
      <c r="I183" s="49"/>
      <c r="J183" s="49"/>
      <c r="K183" s="49"/>
      <c r="L183" s="49"/>
      <c r="M183" s="6"/>
      <c r="N183" s="6"/>
      <c r="O183" s="6"/>
      <c r="P183" s="6"/>
    </row>
    <row r="184" spans="1:16" ht="17.5" customHeight="1">
      <c r="A184" s="22">
        <v>1963</v>
      </c>
      <c r="B184" s="178">
        <f>'S1 - BEA estimates 1929-2022'!B41</f>
        <v>3976.1</v>
      </c>
      <c r="C184" s="178">
        <f>'S1 - BEA estimates 1929-2022'!C41</f>
        <v>637.45000000000005</v>
      </c>
      <c r="D184" s="178">
        <f>'S1 - BEA estimates 1929-2022'!D41</f>
        <v>16.03</v>
      </c>
      <c r="E184" s="43">
        <f>'S11b Population 1900 to 2022'!B112</f>
        <v>189300</v>
      </c>
      <c r="F184" s="177">
        <f t="shared" si="9"/>
        <v>21004.226096143688</v>
      </c>
      <c r="G184" s="177">
        <f t="shared" si="10"/>
        <v>3367.4062334918121</v>
      </c>
      <c r="H184" s="6"/>
      <c r="I184" s="49"/>
      <c r="J184" s="49"/>
      <c r="K184" s="49"/>
      <c r="L184" s="49"/>
      <c r="M184" s="6"/>
      <c r="N184" s="6"/>
      <c r="O184" s="6"/>
      <c r="P184" s="6"/>
    </row>
    <row r="185" spans="1:16" ht="17.5" customHeight="1">
      <c r="A185" s="22">
        <v>1964</v>
      </c>
      <c r="B185" s="178">
        <f>'S1 - BEA estimates 1929-2022'!B42</f>
        <v>4205.3</v>
      </c>
      <c r="C185" s="178">
        <f>'S1 - BEA estimates 1929-2022'!C42</f>
        <v>684.46</v>
      </c>
      <c r="D185" s="178">
        <f>'S1 - BEA estimates 1929-2022'!D42</f>
        <v>16.274999999999999</v>
      </c>
      <c r="E185" s="43">
        <f>'S11b Population 1900 to 2022'!B113</f>
        <v>191927</v>
      </c>
      <c r="F185" s="177">
        <f t="shared" si="9"/>
        <v>21910.934886701714</v>
      </c>
      <c r="G185" s="177">
        <f t="shared" si="10"/>
        <v>3566.2517519681965</v>
      </c>
      <c r="H185" s="6"/>
      <c r="I185" s="49"/>
      <c r="J185" s="49"/>
      <c r="K185" s="49"/>
      <c r="L185" s="49"/>
      <c r="M185" s="6"/>
      <c r="N185" s="6"/>
      <c r="O185" s="6"/>
      <c r="P185" s="6"/>
    </row>
    <row r="186" spans="1:16" ht="17.5" customHeight="1">
      <c r="A186" s="22">
        <v>1965</v>
      </c>
      <c r="B186" s="178">
        <f>'S1 - BEA estimates 1929-2022'!B43</f>
        <v>4478.6000000000004</v>
      </c>
      <c r="C186" s="178">
        <f>'S1 - BEA estimates 1929-2022'!C43</f>
        <v>742.28899999999999</v>
      </c>
      <c r="D186" s="178">
        <f>'S1 - BEA estimates 1929-2022'!D43</f>
        <v>16.571999999999999</v>
      </c>
      <c r="E186" s="43">
        <f>'S11b Population 1900 to 2022'!B114</f>
        <v>194347</v>
      </c>
      <c r="F186" s="177">
        <f t="shared" si="9"/>
        <v>23044.348510653625</v>
      </c>
      <c r="G186" s="177">
        <f t="shared" si="10"/>
        <v>3819.4003509187173</v>
      </c>
      <c r="H186" s="6"/>
      <c r="I186" s="49"/>
      <c r="J186" s="49"/>
      <c r="K186" s="49"/>
      <c r="L186" s="49"/>
      <c r="M186" s="6"/>
      <c r="N186" s="6"/>
      <c r="O186" s="6"/>
      <c r="P186" s="6"/>
    </row>
    <row r="187" spans="1:16" ht="17.5" customHeight="1">
      <c r="A187" s="22">
        <v>1966</v>
      </c>
      <c r="B187" s="178">
        <f>'S1 - BEA estimates 1929-2022'!B44</f>
        <v>4773.8999999999996</v>
      </c>
      <c r="C187" s="178">
        <f>'S1 - BEA estimates 1929-2022'!C44</f>
        <v>813.41399999999999</v>
      </c>
      <c r="D187" s="178">
        <f>'S1 - BEA estimates 1929-2022'!D44</f>
        <v>17.036999999999999</v>
      </c>
      <c r="E187" s="43">
        <f>'S11b Population 1900 to 2022'!B115</f>
        <v>196599</v>
      </c>
      <c r="F187" s="177">
        <f t="shared" si="9"/>
        <v>24282.422596249213</v>
      </c>
      <c r="G187" s="177">
        <f t="shared" si="10"/>
        <v>4137.4269452031804</v>
      </c>
      <c r="H187" s="6"/>
      <c r="I187" s="49"/>
      <c r="J187" s="49"/>
      <c r="K187" s="49"/>
      <c r="L187" s="49"/>
      <c r="M187" s="6"/>
      <c r="N187" s="6"/>
      <c r="O187" s="6"/>
      <c r="P187" s="6"/>
    </row>
    <row r="188" spans="1:16" ht="17.5" customHeight="1">
      <c r="A188" s="22">
        <v>1967</v>
      </c>
      <c r="B188" s="178">
        <f>'S1 - BEA estimates 1929-2022'!B45</f>
        <v>4904.8999999999996</v>
      </c>
      <c r="C188" s="178">
        <f>'S1 - BEA estimates 1929-2022'!C45</f>
        <v>859.95899999999995</v>
      </c>
      <c r="D188" s="178">
        <f>'S1 - BEA estimates 1929-2022'!D45</f>
        <v>17.530999999999999</v>
      </c>
      <c r="E188" s="43">
        <f>'S11b Population 1900 to 2022'!B116</f>
        <v>198752</v>
      </c>
      <c r="F188" s="177">
        <f t="shared" si="9"/>
        <v>24678.493801320234</v>
      </c>
      <c r="G188" s="177">
        <f t="shared" si="10"/>
        <v>4326.7941957816774</v>
      </c>
      <c r="H188" s="6"/>
      <c r="I188" s="49"/>
      <c r="J188" s="49"/>
      <c r="K188" s="49"/>
      <c r="L188" s="49"/>
      <c r="M188" s="6"/>
      <c r="N188" s="6"/>
      <c r="O188" s="6"/>
      <c r="P188" s="6"/>
    </row>
    <row r="189" spans="1:16" ht="17.5" customHeight="1">
      <c r="A189" s="22">
        <v>1968</v>
      </c>
      <c r="B189" s="178">
        <f>'S1 - BEA estimates 1929-2022'!B46</f>
        <v>5145.8999999999996</v>
      </c>
      <c r="C189" s="178">
        <f>'S1 - BEA estimates 1929-2022'!C46</f>
        <v>940.65099999999995</v>
      </c>
      <c r="D189" s="178">
        <f>'S1 - BEA estimates 1929-2022'!D46</f>
        <v>18.277000000000001</v>
      </c>
      <c r="E189" s="43">
        <f>'S11b Population 1900 to 2022'!B117</f>
        <v>200745</v>
      </c>
      <c r="F189" s="177">
        <f t="shared" si="9"/>
        <v>25634.013300455801</v>
      </c>
      <c r="G189" s="177">
        <f t="shared" si="10"/>
        <v>4685.8003935340848</v>
      </c>
      <c r="H189" s="6"/>
      <c r="I189" s="49"/>
      <c r="J189" s="49"/>
      <c r="K189" s="49"/>
      <c r="L189" s="49"/>
      <c r="M189" s="6"/>
      <c r="N189" s="6"/>
      <c r="O189" s="6"/>
      <c r="P189" s="6"/>
    </row>
    <row r="190" spans="1:16" ht="17.5" customHeight="1">
      <c r="A190" s="22">
        <v>1969</v>
      </c>
      <c r="B190" s="178">
        <f>'S1 - BEA estimates 1929-2022'!B47</f>
        <v>5306.6</v>
      </c>
      <c r="C190" s="178">
        <f>'S1 - BEA estimates 1929-2022'!C47</f>
        <v>1017.615</v>
      </c>
      <c r="D190" s="178">
        <f>'S1 - BEA estimates 1929-2022'!D47</f>
        <v>19.175000000000001</v>
      </c>
      <c r="E190" s="43">
        <f>'S11b Population 1900 to 2022'!B118</f>
        <v>202736</v>
      </c>
      <c r="F190" s="177">
        <f t="shared" si="9"/>
        <v>26174.926998658357</v>
      </c>
      <c r="G190" s="177">
        <f t="shared" si="10"/>
        <v>5019.4094783363589</v>
      </c>
      <c r="H190" s="6"/>
      <c r="I190" s="49"/>
      <c r="J190" s="49"/>
      <c r="K190" s="49"/>
      <c r="L190" s="49"/>
      <c r="M190" s="6"/>
      <c r="N190" s="6"/>
      <c r="O190" s="6"/>
      <c r="P190" s="6"/>
    </row>
    <row r="191" spans="1:16" ht="17.5" customHeight="1">
      <c r="A191" s="22">
        <v>1970</v>
      </c>
      <c r="B191" s="178">
        <f>'S1 - BEA estimates 1929-2022'!B48</f>
        <v>5316.4</v>
      </c>
      <c r="C191" s="178">
        <f>'S1 - BEA estimates 1929-2022'!C48</f>
        <v>1073.3030000000001</v>
      </c>
      <c r="D191" s="178">
        <f>'S1 - BEA estimates 1929-2022'!D48</f>
        <v>20.186</v>
      </c>
      <c r="E191" s="43">
        <f>'S11b Population 1900 to 2022'!B119</f>
        <v>205089</v>
      </c>
      <c r="F191" s="177">
        <f t="shared" si="9"/>
        <v>25922.404419544684</v>
      </c>
      <c r="G191" s="177">
        <f t="shared" si="10"/>
        <v>5233.3523494677929</v>
      </c>
      <c r="H191" s="6"/>
      <c r="I191" s="49"/>
      <c r="J191" s="49"/>
      <c r="K191" s="49"/>
      <c r="L191" s="49"/>
      <c r="M191" s="6"/>
      <c r="N191" s="6"/>
      <c r="O191" s="6"/>
      <c r="P191" s="6"/>
    </row>
    <row r="192" spans="1:16" ht="17.5" customHeight="1">
      <c r="A192" s="22">
        <v>1971</v>
      </c>
      <c r="B192" s="178">
        <f>'S1 - BEA estimates 1929-2022'!B49</f>
        <v>5491.4</v>
      </c>
      <c r="C192" s="178">
        <f>'S1 - BEA estimates 1929-2022'!C49</f>
        <v>1164.8499999999999</v>
      </c>
      <c r="D192" s="178">
        <f>'S1 - BEA estimates 1929-2022'!D49</f>
        <v>21.210999999999999</v>
      </c>
      <c r="E192" s="43">
        <f>'S11b Population 1900 to 2022'!B120</f>
        <v>207692</v>
      </c>
      <c r="F192" s="177">
        <f t="shared" si="9"/>
        <v>26440.113244612214</v>
      </c>
      <c r="G192" s="177">
        <f t="shared" si="10"/>
        <v>5608.5453459931041</v>
      </c>
      <c r="H192" s="6"/>
      <c r="I192" s="49"/>
      <c r="J192" s="49"/>
      <c r="K192" s="49"/>
      <c r="L192" s="49"/>
      <c r="M192" s="6"/>
      <c r="N192" s="6"/>
      <c r="O192" s="6"/>
      <c r="P192" s="6"/>
    </row>
    <row r="193" spans="1:16" ht="17.5" customHeight="1">
      <c r="A193" s="22">
        <v>1972</v>
      </c>
      <c r="B193" s="178">
        <f>'S1 - BEA estimates 1929-2022'!B50</f>
        <v>5780</v>
      </c>
      <c r="C193" s="178">
        <f>'S1 - BEA estimates 1929-2022'!C50</f>
        <v>1279.1099999999999</v>
      </c>
      <c r="D193" s="178">
        <f>'S1 - BEA estimates 1929-2022'!D50</f>
        <v>22.128</v>
      </c>
      <c r="E193" s="43">
        <f>'S11b Population 1900 to 2022'!B121</f>
        <v>209924</v>
      </c>
      <c r="F193" s="177">
        <f t="shared" si="9"/>
        <v>27533.774127779579</v>
      </c>
      <c r="G193" s="177">
        <f t="shared" si="10"/>
        <v>6093.205159962652</v>
      </c>
      <c r="H193" s="6"/>
      <c r="I193" s="49"/>
      <c r="J193" s="49"/>
      <c r="K193" s="49"/>
      <c r="L193" s="49"/>
      <c r="M193" s="6"/>
      <c r="N193" s="6"/>
      <c r="O193" s="6"/>
      <c r="P193" s="6"/>
    </row>
    <row r="194" spans="1:16" ht="17.5" customHeight="1">
      <c r="A194" s="22">
        <v>1973</v>
      </c>
      <c r="B194" s="178">
        <f>'S1 - BEA estimates 1929-2022'!B51</f>
        <v>6106.4</v>
      </c>
      <c r="C194" s="178">
        <f>'S1 - BEA estimates 1929-2022'!C51</f>
        <v>1425.376</v>
      </c>
      <c r="D194" s="178">
        <f>'S1 - BEA estimates 1929-2022'!D51</f>
        <v>23.34</v>
      </c>
      <c r="E194" s="43">
        <f>'S11b Population 1900 to 2022'!B122</f>
        <v>211939</v>
      </c>
      <c r="F194" s="177">
        <f t="shared" si="9"/>
        <v>28812.063848560196</v>
      </c>
      <c r="G194" s="177">
        <f t="shared" si="10"/>
        <v>6725.4068387602092</v>
      </c>
      <c r="H194" s="6"/>
      <c r="I194" s="49"/>
      <c r="J194" s="49"/>
      <c r="K194" s="49"/>
      <c r="L194" s="49"/>
      <c r="M194" s="6"/>
      <c r="N194" s="6"/>
      <c r="O194" s="6"/>
      <c r="P194" s="6"/>
    </row>
    <row r="195" spans="1:16" ht="17.5" customHeight="1">
      <c r="A195" s="22">
        <v>1974</v>
      </c>
      <c r="B195" s="178">
        <f>'S1 - BEA estimates 1929-2022'!B52</f>
        <v>6073.4</v>
      </c>
      <c r="C195" s="178">
        <f>'S1 - BEA estimates 1929-2022'!C52</f>
        <v>1545.2429999999999</v>
      </c>
      <c r="D195" s="178">
        <f>'S1 - BEA estimates 1929-2022'!D52</f>
        <v>25.434000000000001</v>
      </c>
      <c r="E195" s="43">
        <f>'S11b Population 1900 to 2022'!B123</f>
        <v>213898</v>
      </c>
      <c r="F195" s="177">
        <f t="shared" si="9"/>
        <v>28393.907376413055</v>
      </c>
      <c r="G195" s="177">
        <f t="shared" si="10"/>
        <v>7224.2049949041129</v>
      </c>
      <c r="H195" s="6"/>
      <c r="I195" s="49"/>
      <c r="J195" s="49"/>
      <c r="K195" s="49"/>
      <c r="L195" s="49"/>
      <c r="M195" s="6"/>
      <c r="N195" s="6"/>
      <c r="O195" s="6"/>
      <c r="P195" s="6"/>
    </row>
    <row r="196" spans="1:16" ht="17.5" customHeight="1">
      <c r="A196" s="22">
        <v>1975</v>
      </c>
      <c r="B196" s="178">
        <f>'S1 - BEA estimates 1929-2022'!B53</f>
        <v>6060.9</v>
      </c>
      <c r="C196" s="178">
        <f>'S1 - BEA estimates 1929-2022'!C53</f>
        <v>1684.904</v>
      </c>
      <c r="D196" s="178">
        <f>'S1 - BEA estimates 1929-2022'!D53</f>
        <v>27.795999999999999</v>
      </c>
      <c r="E196" s="43">
        <f>'S11b Population 1900 to 2022'!B124</f>
        <v>215981</v>
      </c>
      <c r="F196" s="177">
        <f t="shared" si="9"/>
        <v>28062.190655659524</v>
      </c>
      <c r="G196" s="177">
        <f t="shared" si="10"/>
        <v>7801.1676953065316</v>
      </c>
      <c r="H196" s="6"/>
      <c r="I196" s="49"/>
      <c r="J196" s="49"/>
      <c r="K196" s="49"/>
      <c r="L196" s="49"/>
      <c r="M196" s="6"/>
      <c r="N196" s="6"/>
      <c r="O196" s="6"/>
      <c r="P196" s="6"/>
    </row>
    <row r="197" spans="1:16" ht="17.5" customHeight="1">
      <c r="A197" s="22">
        <v>1976</v>
      </c>
      <c r="B197" s="178">
        <f>'S1 - BEA estimates 1929-2022'!B54</f>
        <v>6387.4</v>
      </c>
      <c r="C197" s="178">
        <f>'S1 - BEA estimates 1929-2022'!C54</f>
        <v>1873.412</v>
      </c>
      <c r="D197" s="178">
        <f>'S1 - BEA estimates 1929-2022'!D54</f>
        <v>29.327000000000002</v>
      </c>
      <c r="E197" s="43">
        <f>'S11b Population 1900 to 2022'!B125</f>
        <v>218086</v>
      </c>
      <c r="F197" s="177">
        <f t="shared" si="9"/>
        <v>29288.445842465815</v>
      </c>
      <c r="G197" s="177">
        <f t="shared" si="10"/>
        <v>8590.2442155846766</v>
      </c>
      <c r="H197" s="6"/>
      <c r="I197" s="49"/>
      <c r="J197" s="49"/>
      <c r="K197" s="49"/>
      <c r="L197" s="49"/>
      <c r="M197" s="6"/>
      <c r="N197" s="6"/>
      <c r="O197" s="6"/>
      <c r="P197" s="6"/>
    </row>
    <row r="198" spans="1:16" ht="17.5" customHeight="1">
      <c r="A198" s="22">
        <v>1977</v>
      </c>
      <c r="B198" s="178">
        <f>'S1 - BEA estimates 1929-2022'!B55</f>
        <v>6682.8</v>
      </c>
      <c r="C198" s="178">
        <f>'S1 - BEA estimates 1929-2022'!C55</f>
        <v>2081.826</v>
      </c>
      <c r="D198" s="178">
        <f>'S1 - BEA estimates 1929-2022'!D55</f>
        <v>31.148</v>
      </c>
      <c r="E198" s="43">
        <f>'S11b Population 1900 to 2022'!B126</f>
        <v>220289</v>
      </c>
      <c r="F198" s="177">
        <f t="shared" si="9"/>
        <v>30336.512490410325</v>
      </c>
      <c r="G198" s="177">
        <f t="shared" si="10"/>
        <v>9450.4310246993718</v>
      </c>
      <c r="H198" s="6"/>
      <c r="I198" s="49"/>
      <c r="J198" s="49"/>
      <c r="K198" s="49"/>
      <c r="L198" s="49"/>
      <c r="M198" s="6"/>
      <c r="N198" s="6"/>
      <c r="O198" s="6"/>
      <c r="P198" s="6"/>
    </row>
    <row r="199" spans="1:16" ht="17.5" customHeight="1">
      <c r="A199" s="22">
        <v>1978</v>
      </c>
      <c r="B199" s="178">
        <f>'S1 - BEA estimates 1929-2022'!B56</f>
        <v>7052.7</v>
      </c>
      <c r="C199" s="178">
        <f>'S1 - BEA estimates 1929-2022'!C56</f>
        <v>2351.5990000000002</v>
      </c>
      <c r="D199" s="178">
        <f>'S1 - BEA estimates 1929-2022'!D56</f>
        <v>33.338999999999999</v>
      </c>
      <c r="E199" s="43">
        <f>'S11b Population 1900 to 2022'!B127</f>
        <v>222629</v>
      </c>
      <c r="F199" s="177">
        <f t="shared" si="9"/>
        <v>31679.161295249043</v>
      </c>
      <c r="G199" s="177">
        <f t="shared" si="10"/>
        <v>10562.860184432397</v>
      </c>
      <c r="H199" s="6"/>
      <c r="I199" s="49"/>
      <c r="J199" s="49"/>
      <c r="K199" s="49"/>
      <c r="L199" s="49"/>
      <c r="M199" s="6"/>
      <c r="N199" s="6"/>
      <c r="O199" s="6"/>
      <c r="P199" s="6"/>
    </row>
    <row r="200" spans="1:16" ht="17.5" customHeight="1">
      <c r="A200" s="22">
        <v>1979</v>
      </c>
      <c r="B200" s="178">
        <f>'S1 - BEA estimates 1929-2022'!B57</f>
        <v>7276</v>
      </c>
      <c r="C200" s="178">
        <f>'S1 - BEA estimates 1929-2022'!C57</f>
        <v>2627.3330000000001</v>
      </c>
      <c r="D200" s="178">
        <f>'S1 - BEA estimates 1929-2022'!D57</f>
        <v>36.103999999999999</v>
      </c>
      <c r="E200" s="43">
        <f>'S11b Population 1900 to 2022'!B128</f>
        <v>225106</v>
      </c>
      <c r="F200" s="177">
        <f t="shared" si="9"/>
        <v>32322.550265208389</v>
      </c>
      <c r="G200" s="177">
        <f t="shared" si="10"/>
        <v>11671.536964807692</v>
      </c>
      <c r="H200" s="6"/>
      <c r="I200" s="49"/>
      <c r="J200" s="49"/>
      <c r="K200" s="49"/>
      <c r="L200" s="49"/>
      <c r="M200" s="6"/>
      <c r="N200" s="6"/>
      <c r="O200" s="6"/>
      <c r="P200" s="6"/>
    </row>
    <row r="201" spans="1:16" ht="17.5" customHeight="1">
      <c r="A201" s="22">
        <v>1980</v>
      </c>
      <c r="B201" s="178">
        <f>'S1 - BEA estimates 1929-2022'!B58</f>
        <v>7257.3</v>
      </c>
      <c r="C201" s="178">
        <f>'S1 - BEA estimates 1929-2022'!C58</f>
        <v>2857.3069999999998</v>
      </c>
      <c r="D201" s="178">
        <f>'S1 - BEA estimates 1929-2022'!D58</f>
        <v>39.375</v>
      </c>
      <c r="E201" s="43">
        <f>'S11b Population 1900 to 2022'!B129</f>
        <v>227726</v>
      </c>
      <c r="F201" s="177">
        <f t="shared" si="9"/>
        <v>31868.561341260989</v>
      </c>
      <c r="G201" s="177">
        <f t="shared" si="10"/>
        <v>12547.126810289557</v>
      </c>
      <c r="H201" s="6"/>
      <c r="I201" s="49"/>
      <c r="J201" s="49"/>
      <c r="K201" s="49"/>
      <c r="L201" s="49"/>
      <c r="M201" s="6"/>
      <c r="N201" s="6"/>
      <c r="O201" s="6"/>
      <c r="P201" s="6"/>
    </row>
    <row r="202" spans="1:16" ht="17.5" customHeight="1">
      <c r="A202" s="22">
        <v>1981</v>
      </c>
      <c r="B202" s="178">
        <f>'S1 - BEA estimates 1929-2022'!B59</f>
        <v>7441.5</v>
      </c>
      <c r="C202" s="178">
        <f>'S1 - BEA estimates 1929-2022'!C59</f>
        <v>3207.0410000000002</v>
      </c>
      <c r="D202" s="178">
        <f>'S1 - BEA estimates 1929-2022'!D59</f>
        <v>43.091999999999999</v>
      </c>
      <c r="E202" s="43">
        <f>'S11b Population 1900 to 2022'!B130</f>
        <v>230008</v>
      </c>
      <c r="F202" s="177">
        <f t="shared" si="9"/>
        <v>32353.222496608811</v>
      </c>
      <c r="G202" s="177">
        <f t="shared" si="10"/>
        <v>13943.171541859414</v>
      </c>
      <c r="H202" s="6"/>
      <c r="I202" s="49"/>
      <c r="J202" s="49"/>
      <c r="K202" s="49"/>
      <c r="L202" s="49"/>
      <c r="M202" s="6"/>
      <c r="N202" s="6"/>
      <c r="O202" s="6"/>
      <c r="P202" s="6"/>
    </row>
    <row r="203" spans="1:16" ht="17.5" customHeight="1">
      <c r="A203" s="22">
        <v>1982</v>
      </c>
      <c r="B203" s="178">
        <f>'S1 - BEA estimates 1929-2022'!B60</f>
        <v>7307.3</v>
      </c>
      <c r="C203" s="178">
        <f>'S1 - BEA estimates 1929-2022'!C60</f>
        <v>3343.7890000000002</v>
      </c>
      <c r="D203" s="178">
        <f>'S1 - BEA estimates 1929-2022'!D60</f>
        <v>45.756</v>
      </c>
      <c r="E203" s="43">
        <f>'S11b Population 1900 to 2022'!B131</f>
        <v>232218</v>
      </c>
      <c r="F203" s="177">
        <f t="shared" ref="F203:F242" si="11">(B203/E203)*1000000</f>
        <v>31467.414240067519</v>
      </c>
      <c r="G203" s="177">
        <f t="shared" ref="G203:G242" si="12">(C203/E203)*1000000</f>
        <v>14399.353193981518</v>
      </c>
      <c r="H203" s="6"/>
      <c r="I203" s="49"/>
      <c r="J203" s="49"/>
      <c r="K203" s="49"/>
      <c r="L203" s="49"/>
      <c r="M203" s="6"/>
      <c r="N203" s="6"/>
      <c r="O203" s="6"/>
      <c r="P203" s="6"/>
    </row>
    <row r="204" spans="1:16" ht="17.5" customHeight="1">
      <c r="A204" s="22">
        <v>1983</v>
      </c>
      <c r="B204" s="178">
        <f>'S1 - BEA estimates 1929-2022'!B61</f>
        <v>7642.3</v>
      </c>
      <c r="C204" s="178">
        <f>'S1 - BEA estimates 1929-2022'!C61</f>
        <v>3634.038</v>
      </c>
      <c r="D204" s="178">
        <f>'S1 - BEA estimates 1929-2022'!D61</f>
        <v>47.545000000000002</v>
      </c>
      <c r="E204" s="43">
        <f>'S11b Population 1900 to 2022'!B132</f>
        <v>234333</v>
      </c>
      <c r="F204" s="177">
        <f t="shared" si="11"/>
        <v>32612.990914638569</v>
      </c>
      <c r="G204" s="177">
        <f t="shared" si="12"/>
        <v>15508.007835004031</v>
      </c>
      <c r="H204" s="6"/>
      <c r="I204" s="49"/>
      <c r="J204" s="49"/>
      <c r="K204" s="49"/>
      <c r="L204" s="49"/>
      <c r="M204" s="6"/>
      <c r="N204" s="6"/>
      <c r="O204" s="6"/>
      <c r="P204" s="6"/>
    </row>
    <row r="205" spans="1:16" ht="17.5" customHeight="1">
      <c r="A205" s="22">
        <v>1984</v>
      </c>
      <c r="B205" s="178">
        <f>'S1 - BEA estimates 1929-2022'!B62</f>
        <v>8195.2999999999993</v>
      </c>
      <c r="C205" s="178">
        <f>'S1 - BEA estimates 1929-2022'!C62</f>
        <v>4037.6129999999998</v>
      </c>
      <c r="D205" s="178">
        <f>'S1 - BEA estimates 1929-2022'!D62</f>
        <v>49.262</v>
      </c>
      <c r="E205" s="43">
        <f>'S11b Population 1900 to 2022'!B133</f>
        <v>236394</v>
      </c>
      <c r="F205" s="177">
        <f t="shared" si="11"/>
        <v>34667.969576215975</v>
      </c>
      <c r="G205" s="177">
        <f t="shared" si="12"/>
        <v>17080.014721185817</v>
      </c>
      <c r="H205" s="6"/>
      <c r="I205" s="49"/>
      <c r="J205" s="49"/>
      <c r="K205" s="49"/>
      <c r="L205" s="49"/>
      <c r="M205" s="6"/>
      <c r="N205" s="6"/>
      <c r="O205" s="6"/>
      <c r="P205" s="6"/>
    </row>
    <row r="206" spans="1:16" ht="17.5" customHeight="1">
      <c r="A206" s="22">
        <v>1985</v>
      </c>
      <c r="B206" s="178">
        <f>'S1 - BEA estimates 1929-2022'!B63</f>
        <v>8537</v>
      </c>
      <c r="C206" s="178">
        <f>'S1 - BEA estimates 1929-2022'!C63</f>
        <v>4338.9790000000003</v>
      </c>
      <c r="D206" s="178">
        <f>'S1 - BEA estimates 1929-2022'!D63</f>
        <v>50.82</v>
      </c>
      <c r="E206" s="43">
        <f>'S11b Population 1900 to 2022'!B134</f>
        <v>238506</v>
      </c>
      <c r="F206" s="177">
        <f t="shared" si="11"/>
        <v>35793.648797095251</v>
      </c>
      <c r="G206" s="177">
        <f t="shared" si="12"/>
        <v>18192.326398497313</v>
      </c>
      <c r="H206" s="6"/>
      <c r="I206" s="49"/>
      <c r="J206" s="49"/>
      <c r="K206" s="49"/>
      <c r="L206" s="49"/>
      <c r="M206" s="6"/>
      <c r="N206" s="6"/>
      <c r="O206" s="6"/>
      <c r="P206" s="6"/>
    </row>
    <row r="207" spans="1:16" ht="17.5" customHeight="1">
      <c r="A207" s="22">
        <v>1986</v>
      </c>
      <c r="B207" s="178">
        <f>'S1 - BEA estimates 1929-2022'!B64</f>
        <v>8832.6</v>
      </c>
      <c r="C207" s="178">
        <f>'S1 - BEA estimates 1929-2022'!C64</f>
        <v>4579.6310000000003</v>
      </c>
      <c r="D207" s="178">
        <f>'S1 - BEA estimates 1929-2022'!D64</f>
        <v>51.85</v>
      </c>
      <c r="E207" s="43">
        <f>'S11b Population 1900 to 2022'!B135</f>
        <v>240683</v>
      </c>
      <c r="F207" s="177">
        <f t="shared" si="11"/>
        <v>36698.063427828303</v>
      </c>
      <c r="G207" s="177">
        <f t="shared" si="12"/>
        <v>19027.646323171975</v>
      </c>
      <c r="H207" s="6"/>
      <c r="I207" s="49"/>
      <c r="J207" s="49"/>
      <c r="K207" s="49"/>
      <c r="L207" s="49"/>
      <c r="M207" s="6"/>
      <c r="N207" s="6"/>
      <c r="O207" s="6"/>
      <c r="P207" s="6"/>
    </row>
    <row r="208" spans="1:16" ht="17.5" customHeight="1">
      <c r="A208" s="22">
        <v>1987</v>
      </c>
      <c r="B208" s="178">
        <f>'S1 - BEA estimates 1929-2022'!B65</f>
        <v>9137.7000000000007</v>
      </c>
      <c r="C208" s="178">
        <f>'S1 - BEA estimates 1929-2022'!C65</f>
        <v>4855.2150000000001</v>
      </c>
      <c r="D208" s="178">
        <f>'S1 - BEA estimates 1929-2022'!D65</f>
        <v>53.125999999999998</v>
      </c>
      <c r="E208" s="43">
        <f>'S11b Population 1900 to 2022'!B136</f>
        <v>242843</v>
      </c>
      <c r="F208" s="177">
        <f t="shared" si="11"/>
        <v>37628.014807921172</v>
      </c>
      <c r="G208" s="177">
        <f t="shared" si="12"/>
        <v>19993.226076106788</v>
      </c>
      <c r="H208" s="6"/>
      <c r="I208" s="49"/>
      <c r="J208" s="49"/>
      <c r="K208" s="49"/>
      <c r="L208" s="49"/>
      <c r="M208" s="6"/>
      <c r="N208" s="6"/>
      <c r="O208" s="6"/>
      <c r="P208" s="6"/>
    </row>
    <row r="209" spans="1:16" ht="17.5" customHeight="1">
      <c r="A209" s="22">
        <v>1988</v>
      </c>
      <c r="B209" s="178">
        <f>'S1 - BEA estimates 1929-2022'!B66</f>
        <v>9519.4</v>
      </c>
      <c r="C209" s="178">
        <f>'S1 - BEA estimates 1929-2022'!C66</f>
        <v>5236.4380000000001</v>
      </c>
      <c r="D209" s="178">
        <f>'S1 - BEA estimates 1929-2022'!D66</f>
        <v>55.002000000000002</v>
      </c>
      <c r="E209" s="43">
        <f>'S11b Population 1900 to 2022'!B137</f>
        <v>245061</v>
      </c>
      <c r="F209" s="177">
        <f t="shared" si="11"/>
        <v>38845.022259763893</v>
      </c>
      <c r="G209" s="177">
        <f t="shared" si="12"/>
        <v>21367.896156467166</v>
      </c>
      <c r="H209" s="6"/>
      <c r="I209" s="49"/>
      <c r="J209" s="49"/>
      <c r="K209" s="49"/>
      <c r="L209" s="49"/>
      <c r="M209" s="6"/>
      <c r="N209" s="6"/>
      <c r="O209" s="6"/>
      <c r="P209" s="6"/>
    </row>
    <row r="210" spans="1:16" ht="17.5" customHeight="1">
      <c r="A210" s="22">
        <v>1989</v>
      </c>
      <c r="B210" s="178">
        <f>'S1 - BEA estimates 1929-2022'!B67</f>
        <v>9869</v>
      </c>
      <c r="C210" s="178">
        <f>'S1 - BEA estimates 1929-2022'!C67</f>
        <v>5641.58</v>
      </c>
      <c r="D210" s="178">
        <f>'S1 - BEA estimates 1929-2022'!D67</f>
        <v>57.158999999999999</v>
      </c>
      <c r="E210" s="43">
        <f>'S11b Population 1900 to 2022'!B138</f>
        <v>247387</v>
      </c>
      <c r="F210" s="177">
        <f t="shared" si="11"/>
        <v>39892.961230784153</v>
      </c>
      <c r="G210" s="177">
        <f t="shared" si="12"/>
        <v>22804.674457429046</v>
      </c>
      <c r="H210" s="6"/>
      <c r="I210" s="49"/>
      <c r="J210" s="49"/>
      <c r="K210" s="49"/>
      <c r="L210" s="49"/>
      <c r="M210" s="6"/>
      <c r="N210" s="6"/>
      <c r="O210" s="6"/>
      <c r="P210" s="6"/>
    </row>
    <row r="211" spans="1:16" ht="17.5" customHeight="1">
      <c r="A211" s="22">
        <v>1990</v>
      </c>
      <c r="B211" s="178">
        <f>'S1 - BEA estimates 1929-2022'!B68</f>
        <v>10055.1</v>
      </c>
      <c r="C211" s="178">
        <f>'S1 - BEA estimates 1929-2022'!C68</f>
        <v>5963.1440000000002</v>
      </c>
      <c r="D211" s="178">
        <f>'S1 - BEA estimates 1929-2022'!D68</f>
        <v>59.307000000000002</v>
      </c>
      <c r="E211" s="43">
        <f>'S11b Population 1900 to 2022'!B139</f>
        <v>250181</v>
      </c>
      <c r="F211" s="177">
        <f t="shared" si="11"/>
        <v>40191.301497715649</v>
      </c>
      <c r="G211" s="177">
        <f t="shared" si="12"/>
        <v>23835.319228878292</v>
      </c>
      <c r="H211" s="6"/>
      <c r="I211" s="49"/>
      <c r="J211" s="49"/>
      <c r="K211" s="49"/>
      <c r="L211" s="49"/>
      <c r="M211" s="6"/>
      <c r="N211" s="6"/>
      <c r="O211" s="6"/>
      <c r="P211" s="6"/>
    </row>
    <row r="212" spans="1:16" ht="17.5" customHeight="1">
      <c r="A212" s="22">
        <v>1991</v>
      </c>
      <c r="B212" s="178">
        <f>'S1 - BEA estimates 1929-2022'!B69</f>
        <v>10044.200000000001</v>
      </c>
      <c r="C212" s="178">
        <f>'S1 - BEA estimates 1929-2022'!C69</f>
        <v>6158.1289999999999</v>
      </c>
      <c r="D212" s="178">
        <f>'S1 - BEA estimates 1929-2022'!D69</f>
        <v>61.302999999999997</v>
      </c>
      <c r="E212" s="43">
        <f>'S11b Population 1900 to 2022'!B140</f>
        <v>253530</v>
      </c>
      <c r="F212" s="177">
        <f t="shared" si="11"/>
        <v>39617.402279809095</v>
      </c>
      <c r="G212" s="177">
        <f t="shared" si="12"/>
        <v>24289.547588056641</v>
      </c>
      <c r="H212" s="6"/>
      <c r="I212" s="49"/>
      <c r="J212" s="49"/>
      <c r="K212" s="49"/>
      <c r="L212" s="49"/>
      <c r="M212" s="6"/>
      <c r="N212" s="6"/>
      <c r="O212" s="6"/>
      <c r="P212" s="6"/>
    </row>
    <row r="213" spans="1:16" ht="17.5" customHeight="1">
      <c r="A213" s="22">
        <v>1992</v>
      </c>
      <c r="B213" s="178">
        <f>'S1 - BEA estimates 1929-2022'!B70</f>
        <v>10398</v>
      </c>
      <c r="C213" s="178">
        <f>'S1 - BEA estimates 1929-2022'!C70</f>
        <v>6520.3270000000002</v>
      </c>
      <c r="D213" s="178">
        <f>'S1 - BEA estimates 1929-2022'!D70</f>
        <v>62.701000000000001</v>
      </c>
      <c r="E213" s="43">
        <f>'S11b Population 1900 to 2022'!B141</f>
        <v>256922</v>
      </c>
      <c r="F213" s="177">
        <f t="shared" si="11"/>
        <v>40471.427125742441</v>
      </c>
      <c r="G213" s="177">
        <f t="shared" si="12"/>
        <v>25378.624640941613</v>
      </c>
      <c r="H213" s="6"/>
      <c r="I213" s="49"/>
      <c r="J213" s="49"/>
      <c r="K213" s="49"/>
      <c r="L213" s="49"/>
      <c r="M213" s="6"/>
      <c r="N213" s="6"/>
      <c r="O213" s="6"/>
      <c r="P213" s="6"/>
    </row>
    <row r="214" spans="1:16" ht="17.5" customHeight="1">
      <c r="A214" s="22">
        <v>1993</v>
      </c>
      <c r="B214" s="178">
        <f>'S1 - BEA estimates 1929-2022'!B71</f>
        <v>10684.2</v>
      </c>
      <c r="C214" s="178">
        <f>'S1 - BEA estimates 1929-2022'!C71</f>
        <v>6858.5590000000002</v>
      </c>
      <c r="D214" s="178">
        <f>'S1 - BEA estimates 1929-2022'!D71</f>
        <v>64.188999999999993</v>
      </c>
      <c r="E214" s="43">
        <f>'S11b Population 1900 to 2022'!B142</f>
        <v>260282</v>
      </c>
      <c r="F214" s="177">
        <f t="shared" si="11"/>
        <v>41048.555028776478</v>
      </c>
      <c r="G214" s="177">
        <f t="shared" si="12"/>
        <v>26350.49292690236</v>
      </c>
      <c r="H214" s="6"/>
      <c r="I214" s="49"/>
      <c r="J214" s="49"/>
      <c r="K214" s="49"/>
      <c r="L214" s="49"/>
      <c r="M214" s="6"/>
      <c r="N214" s="6"/>
      <c r="O214" s="6"/>
      <c r="P214" s="6"/>
    </row>
    <row r="215" spans="1:16" ht="17.5" customHeight="1">
      <c r="A215" s="22">
        <v>1994</v>
      </c>
      <c r="B215" s="178">
        <f>'S1 - BEA estimates 1929-2022'!B72</f>
        <v>11114.6</v>
      </c>
      <c r="C215" s="178">
        <f>'S1 - BEA estimates 1929-2022'!C72</f>
        <v>7287.2359999999999</v>
      </c>
      <c r="D215" s="178">
        <f>'S1 - BEA estimates 1929-2022'!D72</f>
        <v>65.557000000000002</v>
      </c>
      <c r="E215" s="43">
        <f>'S11b Population 1900 to 2022'!B143</f>
        <v>263455</v>
      </c>
      <c r="F215" s="177">
        <f t="shared" si="11"/>
        <v>42187.849917443215</v>
      </c>
      <c r="G215" s="177">
        <f t="shared" si="12"/>
        <v>27660.268357024917</v>
      </c>
      <c r="H215" s="6"/>
      <c r="I215" s="49"/>
      <c r="J215" s="49"/>
      <c r="K215" s="49"/>
      <c r="L215" s="49"/>
      <c r="M215" s="6"/>
      <c r="N215" s="6"/>
      <c r="O215" s="6"/>
      <c r="P215" s="6"/>
    </row>
    <row r="216" spans="1:16" ht="17.5" customHeight="1">
      <c r="A216" s="22">
        <v>1995</v>
      </c>
      <c r="B216" s="178">
        <f>'S1 - BEA estimates 1929-2022'!B73</f>
        <v>11413</v>
      </c>
      <c r="C216" s="178">
        <f>'S1 - BEA estimates 1929-2022'!C73</f>
        <v>7639.7489999999998</v>
      </c>
      <c r="D216" s="178">
        <f>'S1 - BEA estimates 1929-2022'!D73</f>
        <v>66.933000000000007</v>
      </c>
      <c r="E216" s="43">
        <f>'S11b Population 1900 to 2022'!B144</f>
        <v>266588</v>
      </c>
      <c r="F216" s="177">
        <f t="shared" si="11"/>
        <v>42811.379356910293</v>
      </c>
      <c r="G216" s="177">
        <f t="shared" si="12"/>
        <v>28657.512716251294</v>
      </c>
      <c r="H216" s="6"/>
      <c r="I216" s="49"/>
      <c r="J216" s="49"/>
      <c r="K216" s="49"/>
      <c r="L216" s="49"/>
      <c r="M216" s="6"/>
      <c r="N216" s="6"/>
      <c r="O216" s="6"/>
      <c r="P216" s="6"/>
    </row>
    <row r="217" spans="1:16" ht="17.5" customHeight="1">
      <c r="A217" s="22">
        <v>1996</v>
      </c>
      <c r="B217" s="178">
        <f>'S1 - BEA estimates 1929-2022'!B74</f>
        <v>11843.6</v>
      </c>
      <c r="C217" s="178">
        <f>'S1 - BEA estimates 1929-2022'!C74</f>
        <v>8073.1220000000003</v>
      </c>
      <c r="D217" s="178">
        <f>'S1 - BEA estimates 1929-2022'!D74</f>
        <v>68.156000000000006</v>
      </c>
      <c r="E217" s="43">
        <f>'S11b Population 1900 to 2022'!B145</f>
        <v>269714</v>
      </c>
      <c r="F217" s="177">
        <f t="shared" si="11"/>
        <v>43911.699059003244</v>
      </c>
      <c r="G217" s="177">
        <f t="shared" si="12"/>
        <v>29932.157767116281</v>
      </c>
      <c r="H217" s="6"/>
      <c r="I217" s="49"/>
      <c r="J217" s="49"/>
      <c r="K217" s="49"/>
      <c r="L217" s="49"/>
      <c r="M217" s="6"/>
      <c r="N217" s="6"/>
      <c r="O217" s="6"/>
      <c r="P217" s="6"/>
    </row>
    <row r="218" spans="1:16" ht="17.5" customHeight="1">
      <c r="A218" s="22">
        <v>1997</v>
      </c>
      <c r="B218" s="178">
        <f>'S1 - BEA estimates 1929-2022'!B75</f>
        <v>12370.3</v>
      </c>
      <c r="C218" s="178">
        <f>'S1 - BEA estimates 1929-2022'!C75</f>
        <v>8577.5519999999997</v>
      </c>
      <c r="D218" s="178">
        <f>'S1 - BEA estimates 1929-2022'!D75</f>
        <v>69.337000000000003</v>
      </c>
      <c r="E218" s="43">
        <f>'S11b Population 1900 to 2022'!B146</f>
        <v>272958</v>
      </c>
      <c r="F218" s="177">
        <f t="shared" si="11"/>
        <v>45319.426431905275</v>
      </c>
      <c r="G218" s="177">
        <f t="shared" si="12"/>
        <v>31424.438924669728</v>
      </c>
      <c r="H218" s="6"/>
      <c r="I218" s="49"/>
      <c r="J218" s="49"/>
      <c r="K218" s="49"/>
      <c r="L218" s="49"/>
      <c r="M218" s="6"/>
      <c r="N218" s="6"/>
      <c r="O218" s="6"/>
      <c r="P218" s="6"/>
    </row>
    <row r="219" spans="1:16" ht="17.5" customHeight="1">
      <c r="A219" s="22">
        <v>1998</v>
      </c>
      <c r="B219" s="178">
        <f>'S1 - BEA estimates 1929-2022'!B76</f>
        <v>12924.9</v>
      </c>
      <c r="C219" s="178">
        <f>'S1 - BEA estimates 1929-2022'!C76</f>
        <v>9062.8169999999991</v>
      </c>
      <c r="D219" s="178">
        <f>'S1 - BEA estimates 1929-2022'!D76</f>
        <v>70.102000000000004</v>
      </c>
      <c r="E219" s="43">
        <f>'S11b Population 1900 to 2022'!B147</f>
        <v>276154</v>
      </c>
      <c r="F219" s="177">
        <f t="shared" si="11"/>
        <v>46803.232978700289</v>
      </c>
      <c r="G219" s="177">
        <f t="shared" si="12"/>
        <v>32817.981995553208</v>
      </c>
      <c r="H219" s="6"/>
      <c r="I219" s="49"/>
      <c r="J219" s="49"/>
      <c r="K219" s="49"/>
      <c r="L219" s="49"/>
      <c r="M219" s="6"/>
      <c r="N219" s="6"/>
      <c r="O219" s="6"/>
      <c r="P219" s="6"/>
    </row>
    <row r="220" spans="1:16" ht="17.5" customHeight="1">
      <c r="A220" s="22">
        <v>1999</v>
      </c>
      <c r="B220" s="178">
        <f>'S1 - BEA estimates 1929-2022'!B77</f>
        <v>13543.8</v>
      </c>
      <c r="C220" s="178">
        <f>'S1 - BEA estimates 1929-2022'!C77</f>
        <v>9631.1720000000005</v>
      </c>
      <c r="D220" s="178">
        <f>'S1 - BEA estimates 1929-2022'!D77</f>
        <v>71.084000000000003</v>
      </c>
      <c r="E220" s="43">
        <f>'S11b Population 1900 to 2022'!B148</f>
        <v>279328</v>
      </c>
      <c r="F220" s="177">
        <f t="shared" si="11"/>
        <v>48487.083285599721</v>
      </c>
      <c r="G220" s="177">
        <f t="shared" si="12"/>
        <v>34479.794363615532</v>
      </c>
      <c r="H220" s="6"/>
      <c r="I220" s="49"/>
      <c r="J220" s="49"/>
      <c r="K220" s="49"/>
      <c r="L220" s="49"/>
      <c r="M220" s="6"/>
      <c r="N220" s="6"/>
      <c r="O220" s="6"/>
      <c r="P220" s="6"/>
    </row>
    <row r="221" spans="1:16" ht="17.5" customHeight="1">
      <c r="A221" s="22">
        <v>2000</v>
      </c>
      <c r="B221" s="178">
        <f>'S1 - BEA estimates 1929-2022'!B78</f>
        <v>14096</v>
      </c>
      <c r="C221" s="178">
        <f>'S1 - BEA estimates 1929-2022'!C78</f>
        <v>10250.951999999999</v>
      </c>
      <c r="D221" s="178">
        <f>'S1 - BEA estimates 1929-2022'!D78</f>
        <v>72.709000000000003</v>
      </c>
      <c r="E221" s="43">
        <f>'S11b Population 1900 to 2022'!B149</f>
        <v>282398</v>
      </c>
      <c r="F221" s="177">
        <f t="shared" si="11"/>
        <v>49915.367672575587</v>
      </c>
      <c r="G221" s="177">
        <f t="shared" si="12"/>
        <v>36299.662178910614</v>
      </c>
      <c r="H221" s="6"/>
      <c r="I221" s="49"/>
      <c r="J221" s="49"/>
      <c r="K221" s="49"/>
      <c r="L221" s="49"/>
      <c r="M221" s="6"/>
      <c r="N221" s="6"/>
      <c r="O221" s="6"/>
      <c r="P221" s="6"/>
    </row>
    <row r="222" spans="1:16" ht="17.5" customHeight="1">
      <c r="A222" s="22">
        <v>2001</v>
      </c>
      <c r="B222" s="178">
        <f>'S1 - BEA estimates 1929-2022'!B79</f>
        <v>14230.7</v>
      </c>
      <c r="C222" s="178">
        <f>'S1 - BEA estimates 1929-2022'!C79</f>
        <v>10581.929</v>
      </c>
      <c r="D222" s="178">
        <f>'S1 - BEA estimates 1929-2022'!D79</f>
        <v>74.385000000000005</v>
      </c>
      <c r="E222" s="43">
        <f>'S11b Population 1900 to 2022'!B150</f>
        <v>285225</v>
      </c>
      <c r="F222" s="177">
        <f t="shared" si="11"/>
        <v>49892.891576825321</v>
      </c>
      <c r="G222" s="177">
        <f t="shared" si="12"/>
        <v>37100.285739328603</v>
      </c>
      <c r="H222" s="6"/>
      <c r="I222" s="49"/>
      <c r="J222" s="49"/>
      <c r="K222" s="49"/>
      <c r="L222" s="49"/>
      <c r="M222" s="6"/>
      <c r="N222" s="6"/>
      <c r="O222" s="6"/>
      <c r="P222" s="6"/>
    </row>
    <row r="223" spans="1:16" ht="17.5" customHeight="1">
      <c r="A223" s="22">
        <v>2002</v>
      </c>
      <c r="B223" s="178">
        <f>'S1 - BEA estimates 1929-2022'!B80</f>
        <v>14472.7</v>
      </c>
      <c r="C223" s="178">
        <f>'S1 - BEA estimates 1929-2022'!C80</f>
        <v>10929.108</v>
      </c>
      <c r="D223" s="178">
        <f>'S1 - BEA estimates 1929-2022'!D80</f>
        <v>75.5</v>
      </c>
      <c r="E223" s="43">
        <f>'S11b Population 1900 to 2022'!B151</f>
        <v>287955</v>
      </c>
      <c r="F223" s="177">
        <f t="shared" si="11"/>
        <v>50260.283724887573</v>
      </c>
      <c r="G223" s="177">
        <f t="shared" si="12"/>
        <v>37954.222013856335</v>
      </c>
      <c r="H223" s="6"/>
      <c r="I223" s="49"/>
      <c r="J223" s="49"/>
      <c r="K223" s="49"/>
      <c r="L223" s="49"/>
      <c r="M223" s="6"/>
      <c r="N223" s="6"/>
      <c r="O223" s="6"/>
      <c r="P223" s="6"/>
    </row>
    <row r="224" spans="1:16" ht="17.5" customHeight="1">
      <c r="A224" s="22">
        <v>2003</v>
      </c>
      <c r="B224" s="178">
        <f>'S1 - BEA estimates 1929-2022'!B81</f>
        <v>14877.3</v>
      </c>
      <c r="C224" s="178">
        <f>'S1 - BEA estimates 1929-2022'!C81</f>
        <v>11456.45</v>
      </c>
      <c r="D224" s="178">
        <f>'S1 - BEA estimates 1929-2022'!D81</f>
        <v>77.012</v>
      </c>
      <c r="E224" s="43">
        <f>'S11b Population 1900 to 2022'!B152</f>
        <v>290626</v>
      </c>
      <c r="F224" s="177">
        <f t="shared" si="11"/>
        <v>51190.533537949115</v>
      </c>
      <c r="G224" s="177">
        <f t="shared" si="12"/>
        <v>39419.907372361726</v>
      </c>
      <c r="H224" s="6"/>
      <c r="I224" s="49"/>
      <c r="J224" s="49"/>
      <c r="K224" s="49"/>
      <c r="L224" s="49"/>
      <c r="M224" s="6"/>
      <c r="N224" s="6"/>
      <c r="O224" s="6"/>
      <c r="P224" s="6"/>
    </row>
    <row r="225" spans="1:16" ht="17.5" customHeight="1">
      <c r="A225" s="22">
        <v>2004</v>
      </c>
      <c r="B225" s="178">
        <f>'S1 - BEA estimates 1929-2022'!B82</f>
        <v>15449.8</v>
      </c>
      <c r="C225" s="178">
        <f>'S1 - BEA estimates 1929-2022'!C82</f>
        <v>12217.196</v>
      </c>
      <c r="D225" s="178">
        <f>'S1 - BEA estimates 1929-2022'!D82</f>
        <v>79.069000000000003</v>
      </c>
      <c r="E225" s="43">
        <f>'S11b Population 1900 to 2022'!B153</f>
        <v>293262</v>
      </c>
      <c r="F225" s="177">
        <f t="shared" si="11"/>
        <v>52682.584173878648</v>
      </c>
      <c r="G225" s="177">
        <f t="shared" si="12"/>
        <v>41659.662690699784</v>
      </c>
      <c r="H225" s="6"/>
      <c r="I225" s="49"/>
      <c r="J225" s="49"/>
      <c r="K225" s="49"/>
      <c r="L225" s="49"/>
      <c r="M225" s="6"/>
      <c r="N225" s="6"/>
      <c r="O225" s="6"/>
      <c r="P225" s="6"/>
    </row>
    <row r="226" spans="1:16" ht="17.5" customHeight="1">
      <c r="A226" s="22">
        <v>2005</v>
      </c>
      <c r="B226" s="178">
        <f>'S1 - BEA estimates 1929-2022'!B83</f>
        <v>15988</v>
      </c>
      <c r="C226" s="178">
        <f>'S1 - BEA estimates 1929-2022'!C83</f>
        <v>13039.197</v>
      </c>
      <c r="D226" s="178">
        <f>'S1 - BEA estimates 1929-2022'!D83</f>
        <v>81.537000000000006</v>
      </c>
      <c r="E226" s="43">
        <f>'S11b Population 1900 to 2022'!B154</f>
        <v>295993</v>
      </c>
      <c r="F226" s="177">
        <f t="shared" si="11"/>
        <v>54014.790890325115</v>
      </c>
      <c r="G226" s="177">
        <f t="shared" si="12"/>
        <v>44052.382995543812</v>
      </c>
      <c r="H226" s="6"/>
      <c r="I226" s="49"/>
      <c r="J226" s="49"/>
      <c r="K226" s="49"/>
      <c r="L226" s="49"/>
      <c r="M226" s="6"/>
      <c r="N226" s="6"/>
      <c r="O226" s="6"/>
      <c r="P226" s="6"/>
    </row>
    <row r="227" spans="1:16" ht="17.5" customHeight="1">
      <c r="A227" s="22">
        <v>2006</v>
      </c>
      <c r="B227" s="178">
        <f>'S1 - BEA estimates 1929-2022'!B84</f>
        <v>16433.099999999999</v>
      </c>
      <c r="C227" s="178">
        <f>'S1 - BEA estimates 1929-2022'!C84</f>
        <v>13815.583000000001</v>
      </c>
      <c r="D227" s="178">
        <f>'S1 - BEA estimates 1929-2022'!D84</f>
        <v>84.073999999999998</v>
      </c>
      <c r="E227" s="43">
        <f>'S11b Population 1900 to 2022'!B155</f>
        <v>298818</v>
      </c>
      <c r="F227" s="177">
        <f t="shared" si="11"/>
        <v>54993.675079814464</v>
      </c>
      <c r="G227" s="177">
        <f t="shared" si="12"/>
        <v>46234.105709830066</v>
      </c>
      <c r="H227" s="6"/>
      <c r="I227" s="49"/>
      <c r="J227" s="49"/>
      <c r="K227" s="49"/>
      <c r="L227" s="49"/>
      <c r="M227" s="6"/>
      <c r="N227" s="6"/>
      <c r="O227" s="6"/>
      <c r="P227" s="6"/>
    </row>
    <row r="228" spans="1:16" ht="17.5" customHeight="1">
      <c r="A228" s="22">
        <v>2007</v>
      </c>
      <c r="B228" s="178">
        <f>'S1 - BEA estimates 1929-2022'!B85</f>
        <v>16762.400000000001</v>
      </c>
      <c r="C228" s="178">
        <f>'S1 - BEA estimates 1929-2022'!C85</f>
        <v>14474.227999999999</v>
      </c>
      <c r="D228" s="178">
        <f>'S1 - BEA estimates 1929-2022'!D85</f>
        <v>86.352000000000004</v>
      </c>
      <c r="E228" s="43">
        <f>'S11b Population 1900 to 2022'!B156</f>
        <v>301696</v>
      </c>
      <c r="F228" s="177">
        <f t="shared" si="11"/>
        <v>55560.564276622827</v>
      </c>
      <c r="G228" s="177">
        <f t="shared" si="12"/>
        <v>47976.201209164188</v>
      </c>
      <c r="H228" s="6"/>
      <c r="I228" s="49"/>
      <c r="J228" s="49"/>
      <c r="K228" s="49"/>
      <c r="L228" s="49"/>
      <c r="M228" s="6"/>
      <c r="N228" s="6"/>
      <c r="O228" s="6"/>
      <c r="P228" s="6"/>
    </row>
    <row r="229" spans="1:16" ht="17.5" customHeight="1">
      <c r="A229" s="22">
        <v>2008</v>
      </c>
      <c r="B229" s="178">
        <f>'S1 - BEA estimates 1929-2022'!B86</f>
        <v>16781.5</v>
      </c>
      <c r="C229" s="178">
        <f>'S1 - BEA estimates 1929-2022'!C86</f>
        <v>14769.861999999999</v>
      </c>
      <c r="D229" s="178">
        <f>'S1 - BEA estimates 1929-2022'!D86</f>
        <v>87.977000000000004</v>
      </c>
      <c r="E229" s="43">
        <f>'S11b Population 1900 to 2022'!B157</f>
        <v>304543</v>
      </c>
      <c r="F229" s="177">
        <f t="shared" si="11"/>
        <v>55103.876956620246</v>
      </c>
      <c r="G229" s="177">
        <f t="shared" si="12"/>
        <v>48498.445211349463</v>
      </c>
      <c r="H229" s="6"/>
      <c r="I229" s="49"/>
      <c r="J229" s="49"/>
      <c r="K229" s="49"/>
      <c r="L229" s="49"/>
      <c r="M229" s="6"/>
      <c r="N229" s="6"/>
      <c r="O229" s="6"/>
      <c r="P229" s="6"/>
    </row>
    <row r="230" spans="1:16" ht="17.5" customHeight="1">
      <c r="A230" s="22">
        <v>2009</v>
      </c>
      <c r="B230" s="178">
        <f>'S1 - BEA estimates 1929-2022'!B87</f>
        <v>16349.1</v>
      </c>
      <c r="C230" s="178">
        <f>'S1 - BEA estimates 1929-2022'!C87</f>
        <v>14478.066999999999</v>
      </c>
      <c r="D230" s="178">
        <f>'S1 - BEA estimates 1929-2022'!D87</f>
        <v>88.557000000000002</v>
      </c>
      <c r="E230" s="43">
        <f>'S11b Population 1900 to 2022'!B158</f>
        <v>307240</v>
      </c>
      <c r="F230" s="177">
        <f t="shared" si="11"/>
        <v>53212.797812784796</v>
      </c>
      <c r="G230" s="177">
        <f t="shared" si="12"/>
        <v>47122.988543158441</v>
      </c>
      <c r="H230" s="6"/>
      <c r="I230" s="49"/>
      <c r="J230" s="49"/>
      <c r="K230" s="49"/>
      <c r="L230" s="49"/>
      <c r="M230" s="6"/>
      <c r="N230" s="6"/>
      <c r="O230" s="6"/>
      <c r="P230" s="6"/>
    </row>
    <row r="231" spans="1:16" ht="17" customHeight="1">
      <c r="A231" s="22">
        <v>2010</v>
      </c>
      <c r="B231" s="178">
        <f>'S1 - BEA estimates 1929-2022'!B88</f>
        <v>16789.8</v>
      </c>
      <c r="C231" s="178">
        <f>'S1 - BEA estimates 1929-2022'!C88</f>
        <v>15048.971</v>
      </c>
      <c r="D231" s="178">
        <f>'S1 - BEA estimates 1929-2022'!D88</f>
        <v>89.617999999999995</v>
      </c>
      <c r="E231" s="43">
        <f>'S11b Population 1900 to 2022'!B159</f>
        <v>309839</v>
      </c>
      <c r="F231" s="177">
        <f t="shared" si="11"/>
        <v>54188.788370734474</v>
      </c>
      <c r="G231" s="177">
        <f t="shared" si="12"/>
        <v>48570.29295860108</v>
      </c>
      <c r="H231" s="6"/>
      <c r="I231" s="49"/>
      <c r="J231" s="49"/>
      <c r="K231" s="49"/>
      <c r="L231" s="49"/>
      <c r="M231" s="6"/>
      <c r="N231" s="6"/>
      <c r="O231" s="6"/>
      <c r="P231" s="6"/>
    </row>
    <row r="232" spans="1:16" ht="17.5" customHeight="1">
      <c r="A232" s="22">
        <v>2011</v>
      </c>
      <c r="B232" s="178">
        <f>'S1 - BEA estimates 1929-2022'!B89</f>
        <v>17052.400000000001</v>
      </c>
      <c r="C232" s="178">
        <f>'S1 - BEA estimates 1929-2022'!C89</f>
        <v>15599.732</v>
      </c>
      <c r="D232" s="178">
        <f>'S1 - BEA estimates 1929-2022'!D89</f>
        <v>91.465999999999994</v>
      </c>
      <c r="E232" s="43">
        <f>'S11b Population 1900 to 2022'!B160</f>
        <v>312295</v>
      </c>
      <c r="F232" s="177">
        <f t="shared" si="11"/>
        <v>54603.499895931738</v>
      </c>
      <c r="G232" s="177">
        <f t="shared" si="12"/>
        <v>49951.910853519912</v>
      </c>
      <c r="H232" s="6"/>
      <c r="I232" s="49"/>
      <c r="J232" s="49"/>
      <c r="K232" s="49"/>
      <c r="L232" s="49"/>
      <c r="M232" s="6"/>
      <c r="N232" s="6"/>
      <c r="O232" s="6"/>
      <c r="P232" s="6"/>
    </row>
    <row r="233" spans="1:16" ht="17.5" customHeight="1">
      <c r="A233" s="22">
        <v>2012</v>
      </c>
      <c r="B233" s="178">
        <f>'S1 - BEA estimates 1929-2022'!B90</f>
        <v>17442.8</v>
      </c>
      <c r="C233" s="178">
        <f>'S1 - BEA estimates 1929-2022'!C90</f>
        <v>16253.97</v>
      </c>
      <c r="D233" s="178">
        <f>'S1 - BEA estimates 1929-2022'!D90</f>
        <v>93.176000000000002</v>
      </c>
      <c r="E233" s="43">
        <f>'S11b Population 1900 to 2022'!B161</f>
        <v>314725</v>
      </c>
      <c r="F233" s="177">
        <f t="shared" si="11"/>
        <v>55422.352847724207</v>
      </c>
      <c r="G233" s="177">
        <f t="shared" si="12"/>
        <v>51644.991659385174</v>
      </c>
      <c r="H233" s="6"/>
      <c r="I233" s="49"/>
      <c r="J233" s="49"/>
      <c r="K233" s="49"/>
      <c r="L233" s="49"/>
      <c r="M233" s="6"/>
      <c r="N233" s="6"/>
      <c r="O233" s="6"/>
      <c r="P233" s="6"/>
    </row>
    <row r="234" spans="1:16" ht="17.5" customHeight="1">
      <c r="A234" s="22">
        <v>2013</v>
      </c>
      <c r="B234" s="178">
        <f>'S1 - BEA estimates 1929-2022'!B91</f>
        <v>17812.2</v>
      </c>
      <c r="C234" s="178">
        <f>'S1 - BEA estimates 1929-2022'!C91</f>
        <v>16880.683000000001</v>
      </c>
      <c r="D234" s="178">
        <f>'S1 - BEA estimates 1929-2022'!D91</f>
        <v>94.786000000000001</v>
      </c>
      <c r="E234" s="43">
        <f>'S11b Population 1900 to 2022'!B162</f>
        <v>317099</v>
      </c>
      <c r="F234" s="177">
        <f t="shared" si="11"/>
        <v>56172.362574464125</v>
      </c>
      <c r="G234" s="177">
        <f t="shared" si="12"/>
        <v>53234.740569979724</v>
      </c>
      <c r="H234" s="6"/>
      <c r="I234" s="49"/>
      <c r="J234" s="49"/>
      <c r="K234" s="49"/>
      <c r="L234" s="49"/>
      <c r="M234" s="6"/>
      <c r="N234" s="6"/>
      <c r="O234" s="6"/>
      <c r="P234" s="6"/>
    </row>
    <row r="235" spans="1:16" ht="17.5" customHeight="1">
      <c r="A235" s="22">
        <v>2014</v>
      </c>
      <c r="B235" s="178">
        <f>'S1 - BEA estimates 1929-2022'!B92</f>
        <v>18261.7</v>
      </c>
      <c r="C235" s="178">
        <f>'S1 - BEA estimates 1929-2022'!C92</f>
        <v>17608.137999999999</v>
      </c>
      <c r="D235" s="178">
        <f>'S1 - BEA estimates 1929-2022'!D92</f>
        <v>96.436000000000007</v>
      </c>
      <c r="E235" s="43">
        <f>'S11b Population 1900 to 2022'!B163</f>
        <v>319601</v>
      </c>
      <c r="F235" s="177">
        <f t="shared" si="11"/>
        <v>57139.057762647804</v>
      </c>
      <c r="G235" s="177">
        <f t="shared" si="12"/>
        <v>55094.126739278036</v>
      </c>
      <c r="H235" s="6"/>
      <c r="I235" s="49"/>
      <c r="J235" s="49"/>
      <c r="K235" s="49"/>
      <c r="L235" s="49"/>
      <c r="M235" s="6"/>
      <c r="N235" s="6"/>
      <c r="O235" s="6"/>
      <c r="P235" s="6"/>
    </row>
    <row r="236" spans="1:16" ht="17.5" customHeight="1">
      <c r="A236" s="22">
        <v>2015</v>
      </c>
      <c r="B236" s="178">
        <f>'S1 - BEA estimates 1929-2022'!B93</f>
        <v>18799.599999999999</v>
      </c>
      <c r="C236" s="178">
        <f>'S1 - BEA estimates 1929-2022'!C93</f>
        <v>18295.019</v>
      </c>
      <c r="D236" s="178">
        <f>'S1 - BEA estimates 1929-2022'!D93</f>
        <v>97.277000000000001</v>
      </c>
      <c r="E236" s="43">
        <f>'S11b Population 1900 to 2022'!B164</f>
        <v>322113</v>
      </c>
      <c r="F236" s="177">
        <f t="shared" si="11"/>
        <v>58363.369376585237</v>
      </c>
      <c r="G236" s="177">
        <f t="shared" si="12"/>
        <v>56796.897362105847</v>
      </c>
      <c r="H236" s="6"/>
      <c r="I236" s="49"/>
      <c r="J236" s="49"/>
      <c r="K236" s="49"/>
      <c r="L236" s="49"/>
      <c r="M236" s="6"/>
      <c r="N236" s="6"/>
      <c r="O236" s="6"/>
      <c r="P236" s="6"/>
    </row>
    <row r="237" spans="1:16" ht="17.5" customHeight="1">
      <c r="A237" s="22">
        <v>2016</v>
      </c>
      <c r="B237" s="178">
        <f>'S1 - BEA estimates 1929-2022'!B94</f>
        <v>19141.7</v>
      </c>
      <c r="C237" s="178">
        <f>'S1 - BEA estimates 1929-2022'!C94</f>
        <v>18804.913</v>
      </c>
      <c r="D237" s="178">
        <f>'S1 - BEA estimates 1929-2022'!D94</f>
        <v>98.207999999999998</v>
      </c>
      <c r="E237" s="43">
        <f>'S11b Population 1900 to 2022'!B165</f>
        <v>324609</v>
      </c>
      <c r="F237" s="177">
        <f t="shared" si="11"/>
        <v>58968.482081519614</v>
      </c>
      <c r="G237" s="177">
        <f t="shared" si="12"/>
        <v>57930.966177770795</v>
      </c>
      <c r="H237" s="6"/>
      <c r="I237" s="49"/>
      <c r="J237" s="49"/>
      <c r="K237" s="49"/>
      <c r="L237" s="49"/>
      <c r="M237" s="6"/>
      <c r="N237" s="6"/>
      <c r="O237" s="6"/>
      <c r="P237" s="6"/>
    </row>
    <row r="238" spans="1:16" ht="17.5" customHeight="1">
      <c r="A238" s="22">
        <v>2017</v>
      </c>
      <c r="B238" s="178">
        <f>'S1 - BEA estimates 1929-2022'!B95</f>
        <v>19612.099999999999</v>
      </c>
      <c r="C238" s="178">
        <f>'S1 - BEA estimates 1929-2022'!C95</f>
        <v>19612.101999999999</v>
      </c>
      <c r="D238" s="178">
        <f>'S1 - BEA estimates 1929-2022'!D95</f>
        <v>100</v>
      </c>
      <c r="E238" s="43">
        <f>'S11b Population 1900 to 2022'!B166</f>
        <v>326860</v>
      </c>
      <c r="F238" s="177">
        <f>(B238/E238)*1000000</f>
        <v>60001.529706908157</v>
      </c>
      <c r="G238" s="177">
        <f t="shared" si="12"/>
        <v>60001.535825735788</v>
      </c>
      <c r="H238" s="6"/>
      <c r="I238" s="49"/>
      <c r="J238" s="49"/>
      <c r="K238" s="49"/>
      <c r="L238" s="49"/>
      <c r="M238" s="6"/>
      <c r="N238" s="6"/>
      <c r="O238" s="6"/>
      <c r="P238" s="6"/>
    </row>
    <row r="239" spans="1:16" ht="17.5" customHeight="1">
      <c r="A239" s="22">
        <v>2018</v>
      </c>
      <c r="B239" s="178">
        <f>'S1 - BEA estimates 1929-2022'!B96</f>
        <v>20193.900000000001</v>
      </c>
      <c r="C239" s="178">
        <f>'S1 - BEA estimates 1929-2022'!C96</f>
        <v>20656.516</v>
      </c>
      <c r="D239" s="178">
        <f>'S1 - BEA estimates 1929-2022'!D96</f>
        <v>102.29</v>
      </c>
      <c r="E239" s="43">
        <f>'S11b Population 1900 to 2022'!B167</f>
        <v>328794</v>
      </c>
      <c r="F239" s="177">
        <f t="shared" si="11"/>
        <v>61418.091571014076</v>
      </c>
      <c r="G239" s="177">
        <f t="shared" si="12"/>
        <v>62825.100214724109</v>
      </c>
      <c r="H239" s="6"/>
      <c r="I239" s="49"/>
      <c r="J239" s="49"/>
      <c r="K239" s="49"/>
      <c r="L239" s="49"/>
      <c r="M239" s="6"/>
      <c r="N239" s="6"/>
      <c r="O239" s="6"/>
      <c r="P239" s="6"/>
    </row>
    <row r="240" spans="1:16" ht="17.5" customHeight="1">
      <c r="A240" s="22">
        <v>2019</v>
      </c>
      <c r="B240" s="178">
        <f>'S1 - BEA estimates 1929-2022'!B97</f>
        <v>20692.099999999999</v>
      </c>
      <c r="C240" s="178">
        <f>'S1 - BEA estimates 1929-2022'!C97</f>
        <v>21521.395</v>
      </c>
      <c r="D240" s="178">
        <f>'S1 - BEA estimates 1929-2022'!D97</f>
        <v>104.008</v>
      </c>
      <c r="E240" s="43">
        <f>'S11b Population 1900 to 2022'!B168</f>
        <v>330513</v>
      </c>
      <c r="F240" s="177">
        <f t="shared" si="11"/>
        <v>62606.00944592194</v>
      </c>
      <c r="G240" s="177">
        <f t="shared" si="12"/>
        <v>65115.124064711526</v>
      </c>
      <c r="H240" s="6"/>
      <c r="I240" s="49"/>
      <c r="J240" s="49"/>
      <c r="K240" s="49"/>
      <c r="L240" s="49"/>
      <c r="M240" s="6"/>
      <c r="N240" s="6"/>
      <c r="O240" s="6"/>
      <c r="P240" s="6"/>
    </row>
    <row r="241" spans="1:16" ht="17.5" customHeight="1">
      <c r="A241" s="22">
        <v>2020</v>
      </c>
      <c r="B241" s="178">
        <f>'S1 - BEA estimates 1929-2022'!B98</f>
        <v>20234.099999999999</v>
      </c>
      <c r="C241" s="178">
        <f>'S1 - BEA estimates 1929-2022'!C98</f>
        <v>21322.95</v>
      </c>
      <c r="D241" s="178">
        <f>'S1 - BEA estimates 1929-2022'!D98</f>
        <v>105.407</v>
      </c>
      <c r="E241" s="43">
        <f>'S11b Population 1900 to 2022'!B169</f>
        <v>331788</v>
      </c>
      <c r="F241" s="177">
        <f t="shared" si="11"/>
        <v>60985.026583239902</v>
      </c>
      <c r="G241" s="177">
        <f t="shared" si="12"/>
        <v>64266.790842345115</v>
      </c>
      <c r="H241" s="6"/>
      <c r="I241" s="49"/>
      <c r="J241" s="49"/>
      <c r="K241" s="49"/>
      <c r="L241" s="49"/>
      <c r="M241" s="6"/>
      <c r="N241" s="6"/>
      <c r="O241" s="6"/>
      <c r="P241" s="6"/>
    </row>
    <row r="242" spans="1:16" ht="17.5" customHeight="1">
      <c r="A242" s="22">
        <v>2021</v>
      </c>
      <c r="B242" s="178">
        <f>'S1 - BEA estimates 1929-2022'!B99</f>
        <v>21407.7</v>
      </c>
      <c r="C242" s="178">
        <f>'S1 - BEA estimates 1929-2022'!C99</f>
        <v>23594.030999999999</v>
      </c>
      <c r="D242" s="178">
        <f>'S1 - BEA estimates 1929-2022'!D99</f>
        <v>110.22</v>
      </c>
      <c r="E242" s="43">
        <f>'S11b Population 1900 to 2022'!B170</f>
        <v>332351</v>
      </c>
      <c r="F242" s="177">
        <f t="shared" si="11"/>
        <v>64412.924889649796</v>
      </c>
      <c r="G242" s="177">
        <f t="shared" si="12"/>
        <v>70991.304373990148</v>
      </c>
      <c r="H242" s="6"/>
      <c r="I242" s="49"/>
      <c r="J242" s="49"/>
      <c r="K242" s="49"/>
      <c r="L242" s="49"/>
      <c r="M242" s="6"/>
      <c r="N242" s="6"/>
      <c r="O242" s="6"/>
      <c r="P242" s="6"/>
    </row>
    <row r="243" spans="1:16" ht="17.5" customHeight="1">
      <c r="A243" s="6">
        <v>2022</v>
      </c>
      <c r="B243" s="178">
        <f>'S1 - BEA estimates 1929-2022'!B100</f>
        <v>21822</v>
      </c>
      <c r="C243" s="178">
        <f>'S1 - BEA estimates 1929-2022'!C100</f>
        <v>25744.108</v>
      </c>
      <c r="D243" s="178">
        <f>'S1 - BEA estimates 1929-2022'!D100</f>
        <v>117.996</v>
      </c>
      <c r="E243" s="43">
        <f>'S11b Population 1900 to 2022'!B171</f>
        <v>333595</v>
      </c>
      <c r="F243" s="177">
        <f t="shared" ref="F243" si="13">(B243/E243)*1000000</f>
        <v>65414.64950014239</v>
      </c>
      <c r="G243" s="177">
        <f t="shared" ref="G243" si="14">(C243/E243)*1000000</f>
        <v>77171.744180818059</v>
      </c>
      <c r="H243" s="6"/>
      <c r="I243" s="49"/>
      <c r="J243" s="49"/>
      <c r="K243" s="49"/>
      <c r="L243" s="49"/>
      <c r="M243" s="6"/>
      <c r="N243" s="6"/>
      <c r="O243" s="6"/>
      <c r="P243" s="6"/>
    </row>
    <row r="244" spans="1:16" ht="13.75" customHeight="1">
      <c r="A244" s="6"/>
      <c r="B244" s="6"/>
      <c r="C244" s="178"/>
      <c r="D244" s="6"/>
      <c r="E244" s="6"/>
      <c r="F244" s="6"/>
      <c r="G244" s="6"/>
      <c r="H244" s="6"/>
      <c r="I244" s="49"/>
      <c r="J244" s="49"/>
      <c r="K244" s="49"/>
      <c r="L244" s="49"/>
      <c r="M244" s="6"/>
      <c r="N244" s="6"/>
      <c r="O244" s="6"/>
      <c r="P244" s="6"/>
    </row>
    <row r="245" spans="1:16" ht="13.75" customHeight="1">
      <c r="A245" s="6"/>
      <c r="B245" s="6"/>
      <c r="C245" s="6"/>
      <c r="D245" s="6"/>
      <c r="E245" s="6"/>
      <c r="F245" s="6"/>
      <c r="G245" s="6"/>
      <c r="H245" s="6"/>
      <c r="I245" s="49"/>
      <c r="J245" s="49"/>
      <c r="K245" s="49"/>
      <c r="L245" s="49"/>
      <c r="M245" s="6"/>
      <c r="N245" s="6"/>
      <c r="O245" s="6"/>
      <c r="P245" s="6"/>
    </row>
    <row r="246" spans="1:16" ht="13.75" customHeight="1">
      <c r="A246" s="6"/>
      <c r="B246" s="6"/>
      <c r="C246" s="6"/>
      <c r="D246" s="6"/>
      <c r="E246" s="6"/>
      <c r="F246" s="6"/>
      <c r="G246" s="6"/>
      <c r="H246" s="6"/>
      <c r="I246" s="49"/>
      <c r="J246" s="49"/>
      <c r="K246" s="49"/>
      <c r="L246" s="49"/>
      <c r="M246" s="6"/>
      <c r="N246" s="6"/>
      <c r="O246" s="6"/>
      <c r="P246" s="6"/>
    </row>
    <row r="247" spans="1:16" ht="13.75" customHeight="1">
      <c r="A247" s="6"/>
      <c r="B247" s="6"/>
      <c r="C247" s="6"/>
      <c r="D247" s="6"/>
      <c r="E247" s="6"/>
      <c r="F247" s="6"/>
      <c r="G247" s="6"/>
      <c r="H247" s="6"/>
      <c r="I247" s="49"/>
      <c r="J247" s="49"/>
      <c r="K247" s="49"/>
      <c r="L247" s="49"/>
      <c r="M247" s="6"/>
      <c r="N247" s="6"/>
      <c r="O247" s="6"/>
      <c r="P247" s="6"/>
    </row>
    <row r="248" spans="1:16" ht="13.75" customHeight="1">
      <c r="A248" s="6"/>
      <c r="B248" s="6"/>
      <c r="C248" s="6"/>
      <c r="D248" s="6"/>
      <c r="E248" s="6"/>
      <c r="F248" s="6"/>
      <c r="G248" s="6"/>
      <c r="H248" s="6"/>
      <c r="I248" s="49"/>
      <c r="J248" s="49"/>
      <c r="K248" s="49"/>
      <c r="L248" s="49"/>
      <c r="M248" s="6"/>
      <c r="N248" s="6"/>
      <c r="O248" s="6"/>
      <c r="P248" s="6"/>
    </row>
    <row r="249" spans="1:16" ht="13.75" customHeight="1">
      <c r="A249" s="6"/>
      <c r="B249" s="6"/>
      <c r="C249" s="6"/>
      <c r="D249" s="6"/>
      <c r="E249" s="6"/>
      <c r="F249" s="6"/>
      <c r="G249" s="6"/>
      <c r="H249" s="6"/>
      <c r="I249" s="49"/>
      <c r="J249" s="49"/>
      <c r="K249" s="49"/>
      <c r="L249" s="49"/>
      <c r="M249" s="6"/>
      <c r="N249" s="6"/>
      <c r="O249" s="6"/>
      <c r="P249" s="6"/>
    </row>
    <row r="250" spans="1:16" ht="13.75" customHeight="1">
      <c r="A250" s="6"/>
      <c r="B250" s="6"/>
      <c r="C250" s="6"/>
      <c r="D250" s="6"/>
      <c r="E250" s="6"/>
      <c r="F250" s="6"/>
      <c r="G250" s="6"/>
      <c r="H250" s="6"/>
      <c r="I250" s="49"/>
      <c r="J250" s="49"/>
      <c r="K250" s="49"/>
      <c r="L250" s="49"/>
      <c r="M250" s="6"/>
      <c r="N250" s="6"/>
      <c r="O250" s="6"/>
      <c r="P250" s="6"/>
    </row>
    <row r="251" spans="1:16" ht="13.75" customHeight="1">
      <c r="A251" s="6"/>
      <c r="B251" s="6"/>
      <c r="C251" s="6"/>
      <c r="D251" s="6"/>
      <c r="E251" s="6"/>
      <c r="F251" s="6"/>
      <c r="G251" s="6"/>
      <c r="H251" s="6"/>
      <c r="I251" s="49"/>
      <c r="J251" s="49"/>
      <c r="K251" s="49"/>
      <c r="L251" s="49"/>
      <c r="M251" s="6"/>
      <c r="N251" s="6"/>
      <c r="O251" s="6"/>
      <c r="P251" s="6"/>
    </row>
    <row r="252" spans="1:16" ht="13.75" customHeight="1">
      <c r="A252" s="237" t="s">
        <v>460</v>
      </c>
      <c r="B252" s="238"/>
      <c r="C252" s="238"/>
      <c r="D252" s="238"/>
      <c r="E252" s="238"/>
      <c r="F252" s="238"/>
      <c r="G252" s="238"/>
      <c r="H252" s="6"/>
      <c r="I252" s="49"/>
      <c r="J252" s="49"/>
      <c r="K252" s="49"/>
      <c r="L252" s="49"/>
      <c r="M252" s="6"/>
      <c r="N252" s="6"/>
      <c r="O252" s="6"/>
      <c r="P252" s="6"/>
    </row>
    <row r="253" spans="1:16" ht="13.75" customHeight="1">
      <c r="A253" s="238"/>
      <c r="B253" s="238"/>
      <c r="C253" s="238"/>
      <c r="D253" s="238"/>
      <c r="E253" s="238"/>
      <c r="F253" s="238"/>
      <c r="G253" s="238"/>
      <c r="H253" s="6"/>
      <c r="I253" s="49"/>
      <c r="J253" s="49"/>
      <c r="K253" s="49"/>
      <c r="L253" s="49"/>
      <c r="M253" s="6"/>
      <c r="N253" s="6"/>
      <c r="O253" s="6"/>
      <c r="P253" s="6"/>
    </row>
    <row r="254" spans="1:16" ht="13.75" customHeight="1">
      <c r="A254" s="238"/>
      <c r="B254" s="238"/>
      <c r="C254" s="238"/>
      <c r="D254" s="238"/>
      <c r="E254" s="238"/>
      <c r="F254" s="238"/>
      <c r="G254" s="238"/>
      <c r="H254" s="6"/>
      <c r="I254" s="49"/>
      <c r="J254" s="49"/>
      <c r="K254" s="49"/>
      <c r="L254" s="49"/>
      <c r="M254" s="6"/>
      <c r="N254" s="6"/>
      <c r="O254" s="6"/>
      <c r="P254" s="6"/>
    </row>
  </sheetData>
  <mergeCells count="3">
    <mergeCell ref="A2:G2"/>
    <mergeCell ref="A4:G4"/>
    <mergeCell ref="A252:G254"/>
  </mergeCells>
  <pageMargins left="0.75" right="0.75" top="1" bottom="1" header="0.5" footer="0.5"/>
  <pageSetup orientation="landscape"/>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34"/>
  <sheetViews>
    <sheetView showGridLines="0" workbookViewId="0"/>
  </sheetViews>
  <sheetFormatPr baseColWidth="10" defaultColWidth="9.1640625" defaultRowHeight="16" customHeight="1"/>
  <cols>
    <col min="1" max="1" width="9.1640625" style="4" customWidth="1"/>
    <col min="2" max="2" width="15.1640625" style="4" customWidth="1"/>
    <col min="3" max="3" width="11.5" style="4" customWidth="1"/>
    <col min="4" max="6" width="9.1640625" style="4" customWidth="1"/>
    <col min="7" max="16384" width="9.1640625" style="4"/>
  </cols>
  <sheetData>
    <row r="1" spans="1:5" ht="17.5" customHeight="1">
      <c r="A1" s="8" t="s">
        <v>99</v>
      </c>
      <c r="B1" s="6"/>
      <c r="C1" s="6"/>
      <c r="D1" s="6"/>
      <c r="E1" s="6"/>
    </row>
    <row r="2" spans="1:5" ht="17.5" customHeight="1">
      <c r="A2" s="8" t="s">
        <v>100</v>
      </c>
      <c r="B2" s="6"/>
      <c r="C2" s="6"/>
      <c r="D2" s="6"/>
      <c r="E2" s="6"/>
    </row>
    <row r="3" spans="1:5" ht="17.5" customHeight="1">
      <c r="A3" s="8" t="s">
        <v>101</v>
      </c>
      <c r="B3" s="6"/>
      <c r="C3" s="6"/>
      <c r="D3" s="6"/>
      <c r="E3" s="6"/>
    </row>
    <row r="4" spans="1:5" ht="17.5" customHeight="1">
      <c r="A4" s="8" t="s">
        <v>102</v>
      </c>
      <c r="B4" s="6"/>
      <c r="C4" s="16"/>
      <c r="D4" s="6"/>
      <c r="E4" s="6"/>
    </row>
    <row r="5" spans="1:5" ht="17.5" customHeight="1">
      <c r="A5" s="8" t="s">
        <v>103</v>
      </c>
      <c r="B5" s="6"/>
      <c r="C5" s="6"/>
      <c r="D5" s="6"/>
      <c r="E5" s="6"/>
    </row>
    <row r="6" spans="1:5" ht="13.75" customHeight="1">
      <c r="A6" s="6"/>
      <c r="B6" s="6"/>
      <c r="C6" s="6"/>
      <c r="D6" s="6"/>
      <c r="E6" s="6"/>
    </row>
    <row r="7" spans="1:5" ht="17.5" customHeight="1">
      <c r="A7" s="6"/>
      <c r="B7" s="227" t="s">
        <v>96</v>
      </c>
      <c r="C7" s="228"/>
      <c r="D7" s="6"/>
      <c r="E7" s="6"/>
    </row>
    <row r="8" spans="1:5" ht="17.5" customHeight="1">
      <c r="A8" s="8" t="s">
        <v>95</v>
      </c>
      <c r="B8" s="8" t="s">
        <v>104</v>
      </c>
      <c r="C8" s="8" t="s">
        <v>105</v>
      </c>
      <c r="D8" s="6"/>
      <c r="E8" s="6"/>
    </row>
    <row r="9" spans="1:5" ht="17.5" customHeight="1">
      <c r="A9" s="22">
        <v>1790</v>
      </c>
      <c r="B9" s="28">
        <v>4.29065167451171</v>
      </c>
      <c r="C9" s="28">
        <f t="shared" ref="C9:C40" si="0">(7/12)*B9+(5/12)*B10</f>
        <v>4.3738485085798642</v>
      </c>
      <c r="D9" s="6"/>
      <c r="E9" s="6"/>
    </row>
    <row r="10" spans="1:5" ht="17.5" customHeight="1">
      <c r="A10" s="22">
        <v>1791</v>
      </c>
      <c r="B10" s="28">
        <v>4.4903240762752796</v>
      </c>
      <c r="C10" s="28">
        <f t="shared" si="0"/>
        <v>4.6532068514045006</v>
      </c>
      <c r="D10" s="6"/>
      <c r="E10" s="6"/>
    </row>
    <row r="11" spans="1:5" ht="17.5" customHeight="1">
      <c r="A11" s="22">
        <v>1792</v>
      </c>
      <c r="B11" s="28">
        <v>4.8812427365854099</v>
      </c>
      <c r="C11" s="28">
        <f t="shared" si="0"/>
        <v>5.1143188896724929</v>
      </c>
      <c r="D11" s="6"/>
      <c r="E11" s="6"/>
    </row>
    <row r="12" spans="1:5" ht="17.5" customHeight="1">
      <c r="A12" s="22">
        <v>1793</v>
      </c>
      <c r="B12" s="28">
        <v>5.4406255039944096</v>
      </c>
      <c r="C12" s="28">
        <f t="shared" si="0"/>
        <v>5.6795549321403858</v>
      </c>
      <c r="D12" s="6"/>
      <c r="E12" s="6"/>
    </row>
    <row r="13" spans="1:5" ht="17.5" customHeight="1">
      <c r="A13" s="22">
        <v>1794</v>
      </c>
      <c r="B13" s="28">
        <v>6.0140561315447503</v>
      </c>
      <c r="C13" s="28">
        <f t="shared" si="0"/>
        <v>6.2490754643603088</v>
      </c>
      <c r="D13" s="6"/>
      <c r="E13" s="6"/>
    </row>
    <row r="14" spans="1:5" ht="17.5" customHeight="1">
      <c r="A14" s="22">
        <v>1795</v>
      </c>
      <c r="B14" s="28">
        <v>6.5781025303020897</v>
      </c>
      <c r="C14" s="28">
        <f t="shared" si="0"/>
        <v>6.6284234483938027</v>
      </c>
      <c r="D14" s="6"/>
      <c r="E14" s="6"/>
    </row>
    <row r="15" spans="1:5" ht="17.5" customHeight="1">
      <c r="A15" s="22">
        <v>1796</v>
      </c>
      <c r="B15" s="28">
        <v>6.6988727337222</v>
      </c>
      <c r="C15" s="28">
        <f t="shared" si="0"/>
        <v>6.5634430045739496</v>
      </c>
      <c r="D15" s="6"/>
      <c r="E15" s="6"/>
    </row>
    <row r="16" spans="1:5" ht="17.5" customHeight="1">
      <c r="A16" s="22">
        <v>1797</v>
      </c>
      <c r="B16" s="28">
        <v>6.3738413837663996</v>
      </c>
      <c r="C16" s="28">
        <f t="shared" si="0"/>
        <v>6.3069209286723336</v>
      </c>
      <c r="D16" s="6"/>
      <c r="E16" s="6"/>
    </row>
    <row r="17" spans="1:5" ht="17.5" customHeight="1">
      <c r="A17" s="22">
        <v>1798</v>
      </c>
      <c r="B17" s="28">
        <v>6.2132322915406402</v>
      </c>
      <c r="C17" s="28">
        <f t="shared" si="0"/>
        <v>6.3804494128755493</v>
      </c>
      <c r="D17" s="6"/>
      <c r="E17" s="6"/>
    </row>
    <row r="18" spans="1:5" ht="17.5" customHeight="1">
      <c r="A18" s="22">
        <v>1799</v>
      </c>
      <c r="B18" s="28">
        <v>6.6145533827444201</v>
      </c>
      <c r="C18" s="28">
        <f t="shared" si="0"/>
        <v>6.8889745350806031</v>
      </c>
      <c r="D18" s="6"/>
      <c r="E18" s="6"/>
    </row>
    <row r="19" spans="1:5" ht="17.5" customHeight="1">
      <c r="A19" s="22">
        <v>1800</v>
      </c>
      <c r="B19" s="28">
        <v>7.2731641483512597</v>
      </c>
      <c r="C19" s="28">
        <f t="shared" si="0"/>
        <v>7.4698927864069482</v>
      </c>
      <c r="D19" s="6"/>
      <c r="E19" s="6"/>
    </row>
    <row r="20" spans="1:5" ht="17.5" customHeight="1">
      <c r="A20" s="22">
        <v>1801</v>
      </c>
      <c r="B20" s="28">
        <v>7.74531287968491</v>
      </c>
      <c r="C20" s="28">
        <f t="shared" si="0"/>
        <v>7.9390393899979017</v>
      </c>
      <c r="D20" s="6"/>
      <c r="E20" s="6"/>
    </row>
    <row r="21" spans="1:5" ht="17.5" customHeight="1">
      <c r="A21" s="22">
        <v>1802</v>
      </c>
      <c r="B21" s="28">
        <v>8.2102565044360905</v>
      </c>
      <c r="C21" s="28">
        <f t="shared" si="0"/>
        <v>8.1132312843786831</v>
      </c>
      <c r="D21" s="6"/>
      <c r="E21" s="6"/>
    </row>
    <row r="22" spans="1:5" ht="17.5" customHeight="1">
      <c r="A22" s="22">
        <v>1803</v>
      </c>
      <c r="B22" s="28">
        <v>7.9773959762983102</v>
      </c>
      <c r="C22" s="28">
        <f t="shared" si="0"/>
        <v>8.0190004617084565</v>
      </c>
      <c r="D22" s="6"/>
      <c r="E22" s="6"/>
    </row>
    <row r="23" spans="1:5" ht="17.5" customHeight="1">
      <c r="A23" s="22">
        <v>1804</v>
      </c>
      <c r="B23" s="28">
        <v>8.0772467412826607</v>
      </c>
      <c r="C23" s="28">
        <f t="shared" si="0"/>
        <v>8.3360781858511146</v>
      </c>
      <c r="D23" s="6"/>
      <c r="E23" s="6"/>
    </row>
    <row r="24" spans="1:5" ht="17.5" customHeight="1">
      <c r="A24" s="22">
        <v>1805</v>
      </c>
      <c r="B24" s="28">
        <v>8.6984422082469504</v>
      </c>
      <c r="C24" s="28">
        <f t="shared" si="0"/>
        <v>8.9418377396364086</v>
      </c>
      <c r="D24" s="6"/>
      <c r="E24" s="6"/>
    </row>
    <row r="25" spans="1:5" ht="17.5" customHeight="1">
      <c r="A25" s="22">
        <v>1806</v>
      </c>
      <c r="B25" s="28">
        <v>9.2825914835816494</v>
      </c>
      <c r="C25" s="28">
        <f t="shared" si="0"/>
        <v>9.464005151521679</v>
      </c>
      <c r="D25" s="6"/>
      <c r="E25" s="6"/>
    </row>
    <row r="26" spans="1:5" ht="17.5" customHeight="1">
      <c r="A26" s="22">
        <v>1807</v>
      </c>
      <c r="B26" s="28">
        <v>9.7179842866377193</v>
      </c>
      <c r="C26" s="28">
        <f t="shared" si="0"/>
        <v>9.0283798887957403</v>
      </c>
      <c r="D26" s="6"/>
      <c r="E26" s="6"/>
    </row>
    <row r="27" spans="1:5" ht="17.5" customHeight="1">
      <c r="A27" s="22">
        <v>1808</v>
      </c>
      <c r="B27" s="28">
        <v>8.0629337318169707</v>
      </c>
      <c r="C27" s="28">
        <f t="shared" si="0"/>
        <v>8.6153889710442506</v>
      </c>
      <c r="D27" s="6"/>
      <c r="E27" s="6"/>
    </row>
    <row r="28" spans="1:5" ht="17.5" customHeight="1">
      <c r="A28" s="22">
        <v>1809</v>
      </c>
      <c r="B28" s="28">
        <v>9.3888263059624393</v>
      </c>
      <c r="C28" s="28">
        <f t="shared" si="0"/>
        <v>9.750936745637631</v>
      </c>
      <c r="D28" s="6"/>
      <c r="E28" s="6"/>
    </row>
    <row r="29" spans="1:5" ht="17.5" customHeight="1">
      <c r="A29" s="22">
        <v>1810</v>
      </c>
      <c r="B29" s="28">
        <v>10.257891361182899</v>
      </c>
      <c r="C29" s="28">
        <f t="shared" si="0"/>
        <v>10.691608201553858</v>
      </c>
      <c r="D29" s="6"/>
      <c r="E29" s="6"/>
    </row>
    <row r="30" spans="1:5" ht="17.5" customHeight="1">
      <c r="A30" s="22">
        <v>1811</v>
      </c>
      <c r="B30" s="28">
        <v>11.298811778073199</v>
      </c>
      <c r="C30" s="28">
        <f t="shared" si="0"/>
        <v>11.279512815356075</v>
      </c>
      <c r="D30" s="6"/>
      <c r="E30" s="6"/>
    </row>
    <row r="31" spans="1:5" ht="17.5" customHeight="1">
      <c r="A31" s="22">
        <v>1812</v>
      </c>
      <c r="B31" s="28">
        <v>11.2524942675521</v>
      </c>
      <c r="C31" s="28">
        <f t="shared" si="0"/>
        <v>11.590113839625058</v>
      </c>
      <c r="D31" s="6"/>
      <c r="E31" s="6"/>
    </row>
    <row r="32" spans="1:5" ht="17.5" customHeight="1">
      <c r="A32" s="22">
        <v>1813</v>
      </c>
      <c r="B32" s="28">
        <v>12.062781240527199</v>
      </c>
      <c r="C32" s="28">
        <f t="shared" si="0"/>
        <v>12.525030436078701</v>
      </c>
      <c r="D32" s="6"/>
      <c r="E32" s="6"/>
    </row>
    <row r="33" spans="1:5" ht="17.5" customHeight="1">
      <c r="A33" s="22">
        <v>1814</v>
      </c>
      <c r="B33" s="28">
        <v>13.172179309850801</v>
      </c>
      <c r="C33" s="28">
        <f t="shared" si="0"/>
        <v>13.34386387424426</v>
      </c>
      <c r="D33" s="6"/>
      <c r="E33" s="6"/>
    </row>
    <row r="34" spans="1:5" ht="17.5" customHeight="1">
      <c r="A34" s="22">
        <v>1815</v>
      </c>
      <c r="B34" s="28">
        <v>13.5842222643951</v>
      </c>
      <c r="C34" s="28">
        <f t="shared" si="0"/>
        <v>13.172079625946935</v>
      </c>
      <c r="D34" s="6"/>
      <c r="E34" s="6"/>
    </row>
    <row r="35" spans="1:5" ht="17.5" customHeight="1">
      <c r="A35" s="22">
        <v>1816</v>
      </c>
      <c r="B35" s="28">
        <v>12.5950799321195</v>
      </c>
      <c r="C35" s="28">
        <f t="shared" si="0"/>
        <v>12.813309543483502</v>
      </c>
      <c r="D35" s="6"/>
      <c r="E35" s="6"/>
    </row>
    <row r="36" spans="1:5" ht="17.5" customHeight="1">
      <c r="A36" s="22">
        <v>1817</v>
      </c>
      <c r="B36" s="28">
        <v>13.118830999393101</v>
      </c>
      <c r="C36" s="28">
        <f t="shared" si="0"/>
        <v>13.418540055020518</v>
      </c>
      <c r="D36" s="6"/>
      <c r="E36" s="6"/>
    </row>
    <row r="37" spans="1:5" ht="17.5" customHeight="1">
      <c r="A37" s="22">
        <v>1818</v>
      </c>
      <c r="B37" s="28">
        <v>13.838132732898901</v>
      </c>
      <c r="C37" s="28">
        <f t="shared" si="0"/>
        <v>14.077353262819777</v>
      </c>
      <c r="D37" s="6"/>
      <c r="E37" s="6"/>
    </row>
    <row r="38" spans="1:5" ht="17.5" customHeight="1">
      <c r="A38" s="22">
        <v>1819</v>
      </c>
      <c r="B38" s="28">
        <v>14.412262004709</v>
      </c>
      <c r="C38" s="28">
        <f t="shared" si="0"/>
        <v>14.588049093212291</v>
      </c>
      <c r="D38" s="6"/>
      <c r="E38" s="6"/>
    </row>
    <row r="39" spans="1:5" ht="17.5" customHeight="1">
      <c r="A39" s="22">
        <v>1820</v>
      </c>
      <c r="B39" s="28">
        <v>14.8341510171169</v>
      </c>
      <c r="C39" s="28">
        <f t="shared" si="0"/>
        <v>15.233255936622943</v>
      </c>
      <c r="D39" s="6"/>
      <c r="E39" s="6"/>
    </row>
    <row r="40" spans="1:5" ht="17.5" customHeight="1">
      <c r="A40" s="22">
        <v>1821</v>
      </c>
      <c r="B40" s="28">
        <v>15.7920028239314</v>
      </c>
      <c r="C40" s="28">
        <f t="shared" si="0"/>
        <v>16.416771519246943</v>
      </c>
      <c r="D40" s="6"/>
      <c r="E40" s="6"/>
    </row>
    <row r="41" spans="1:5" ht="17.5" customHeight="1">
      <c r="A41" s="22">
        <v>1822</v>
      </c>
      <c r="B41" s="28">
        <v>17.291447692688699</v>
      </c>
      <c r="C41" s="28">
        <f t="shared" ref="C41:C72" si="1">(7/12)*B41+(5/12)*B42</f>
        <v>17.2037893684262</v>
      </c>
      <c r="D41" s="6"/>
      <c r="E41" s="6"/>
    </row>
    <row r="42" spans="1:5" ht="17.5" customHeight="1">
      <c r="A42" s="22">
        <v>1823</v>
      </c>
      <c r="B42" s="28">
        <v>17.081067714458701</v>
      </c>
      <c r="C42" s="28">
        <f t="shared" si="1"/>
        <v>17.696813582024575</v>
      </c>
      <c r="D42" s="6"/>
      <c r="E42" s="6"/>
    </row>
    <row r="43" spans="1:5" ht="17.5" customHeight="1">
      <c r="A43" s="22">
        <v>1824</v>
      </c>
      <c r="B43" s="28">
        <v>18.558857796616799</v>
      </c>
      <c r="C43" s="28">
        <f t="shared" si="1"/>
        <v>19.111965989642425</v>
      </c>
      <c r="D43" s="6"/>
      <c r="E43" s="6"/>
    </row>
    <row r="44" spans="1:5" ht="17.5" customHeight="1">
      <c r="A44" s="22">
        <v>1825</v>
      </c>
      <c r="B44" s="28">
        <v>19.886317459878299</v>
      </c>
      <c r="C44" s="28">
        <f t="shared" si="1"/>
        <v>20.156450315706927</v>
      </c>
      <c r="D44" s="6"/>
      <c r="E44" s="6"/>
    </row>
    <row r="45" spans="1:5" ht="17.5" customHeight="1">
      <c r="A45" s="22">
        <v>1826</v>
      </c>
      <c r="B45" s="28">
        <v>20.534636313867001</v>
      </c>
      <c r="C45" s="28">
        <f t="shared" si="1"/>
        <v>20.758751080185291</v>
      </c>
      <c r="D45" s="6"/>
      <c r="E45" s="6"/>
    </row>
    <row r="46" spans="1:5" ht="17.5" customHeight="1">
      <c r="A46" s="22">
        <v>1827</v>
      </c>
      <c r="B46" s="28">
        <v>21.072511753030899</v>
      </c>
      <c r="C46" s="28">
        <f t="shared" si="1"/>
        <v>21.205121634814859</v>
      </c>
      <c r="D46" s="6"/>
      <c r="E46" s="6"/>
    </row>
    <row r="47" spans="1:5" ht="17.5" customHeight="1">
      <c r="A47" s="22">
        <v>1828</v>
      </c>
      <c r="B47" s="28">
        <v>21.390775469312398</v>
      </c>
      <c r="C47" s="28">
        <f t="shared" si="1"/>
        <v>20.860217620825694</v>
      </c>
      <c r="D47" s="6"/>
      <c r="E47" s="6"/>
    </row>
    <row r="48" spans="1:5" ht="17.5" customHeight="1">
      <c r="A48" s="22">
        <v>1829</v>
      </c>
      <c r="B48" s="28">
        <v>20.117436632944301</v>
      </c>
      <c r="C48" s="28">
        <f t="shared" si="1"/>
        <v>21.652230081888135</v>
      </c>
      <c r="D48" s="6"/>
      <c r="E48" s="6"/>
    </row>
    <row r="49" spans="1:5" ht="17.5" customHeight="1">
      <c r="A49" s="22">
        <v>1830</v>
      </c>
      <c r="B49" s="28">
        <v>23.800940910409501</v>
      </c>
      <c r="C49" s="28">
        <f t="shared" si="1"/>
        <v>25.585923791101791</v>
      </c>
      <c r="D49" s="6"/>
      <c r="E49" s="6"/>
    </row>
    <row r="50" spans="1:5" ht="17.5" customHeight="1">
      <c r="A50" s="22">
        <v>1831</v>
      </c>
      <c r="B50" s="28">
        <v>28.084899824071002</v>
      </c>
      <c r="C50" s="28">
        <f t="shared" si="1"/>
        <v>29.521559065897208</v>
      </c>
      <c r="D50" s="6"/>
      <c r="E50" s="6"/>
    </row>
    <row r="51" spans="1:5" ht="17.5" customHeight="1">
      <c r="A51" s="22">
        <v>1832</v>
      </c>
      <c r="B51" s="28">
        <v>31.532882004453899</v>
      </c>
      <c r="C51" s="28">
        <f t="shared" si="1"/>
        <v>33.039168876204982</v>
      </c>
      <c r="D51" s="6"/>
      <c r="E51" s="6"/>
    </row>
    <row r="52" spans="1:5" ht="17.5" customHeight="1">
      <c r="A52" s="22">
        <v>1833</v>
      </c>
      <c r="B52" s="28">
        <v>35.147970496656498</v>
      </c>
      <c r="C52" s="28">
        <f t="shared" si="1"/>
        <v>34.494366223767294</v>
      </c>
      <c r="D52" s="6"/>
      <c r="E52" s="6"/>
    </row>
    <row r="53" spans="1:5" ht="17.5" customHeight="1">
      <c r="A53" s="22">
        <v>1834</v>
      </c>
      <c r="B53" s="28">
        <v>33.579320241722399</v>
      </c>
      <c r="C53" s="28">
        <f t="shared" si="1"/>
        <v>35.243155682300902</v>
      </c>
      <c r="D53" s="6"/>
      <c r="E53" s="6"/>
    </row>
    <row r="54" spans="1:5" ht="17.5" customHeight="1">
      <c r="A54" s="22">
        <v>1835</v>
      </c>
      <c r="B54" s="28">
        <v>37.572525299110801</v>
      </c>
      <c r="C54" s="28">
        <f t="shared" si="1"/>
        <v>38.687846160845893</v>
      </c>
      <c r="D54" s="6"/>
      <c r="E54" s="6"/>
    </row>
    <row r="55" spans="1:5" ht="17.5" customHeight="1">
      <c r="A55" s="22">
        <v>1836</v>
      </c>
      <c r="B55" s="28">
        <v>40.249295367275003</v>
      </c>
      <c r="C55" s="28">
        <f t="shared" si="1"/>
        <v>40.011680230495045</v>
      </c>
      <c r="D55" s="6"/>
      <c r="E55" s="6"/>
    </row>
    <row r="56" spans="1:5" ht="17.5" customHeight="1">
      <c r="A56" s="22">
        <v>1837</v>
      </c>
      <c r="B56" s="28">
        <v>39.679019039003101</v>
      </c>
      <c r="C56" s="28">
        <f t="shared" si="1"/>
        <v>40.102987440440977</v>
      </c>
      <c r="D56" s="6"/>
      <c r="E56" s="6"/>
    </row>
    <row r="57" spans="1:5" ht="17.5" customHeight="1">
      <c r="A57" s="22">
        <v>1838</v>
      </c>
      <c r="B57" s="28">
        <v>40.696543202454002</v>
      </c>
      <c r="C57" s="28">
        <f t="shared" si="1"/>
        <v>42.929570642358996</v>
      </c>
      <c r="D57" s="6"/>
      <c r="E57" s="6"/>
    </row>
    <row r="58" spans="1:5" ht="17.5" customHeight="1">
      <c r="A58" s="22">
        <v>1839</v>
      </c>
      <c r="B58" s="28">
        <v>46.055809058225996</v>
      </c>
      <c r="C58" s="28">
        <f t="shared" si="1"/>
        <v>45.14970873028058</v>
      </c>
      <c r="D58" s="6"/>
      <c r="E58" s="6"/>
    </row>
    <row r="59" spans="1:5" ht="17.5" customHeight="1">
      <c r="A59" s="22">
        <v>1840</v>
      </c>
      <c r="B59" s="28">
        <v>43.881168271157001</v>
      </c>
      <c r="C59" s="28">
        <f t="shared" si="1"/>
        <v>44.909320942761084</v>
      </c>
      <c r="D59" s="6"/>
      <c r="E59" s="6"/>
    </row>
    <row r="60" spans="1:5" ht="17.5" customHeight="1">
      <c r="A60" s="22">
        <v>1841</v>
      </c>
      <c r="B60" s="28">
        <v>46.348734683006803</v>
      </c>
      <c r="C60" s="28">
        <f t="shared" si="1"/>
        <v>46.893222019769055</v>
      </c>
      <c r="D60" s="6"/>
      <c r="E60" s="6"/>
    </row>
    <row r="61" spans="1:5" ht="17.5" customHeight="1">
      <c r="A61" s="22">
        <v>1842</v>
      </c>
      <c r="B61" s="28">
        <v>47.655504291236198</v>
      </c>
      <c r="C61" s="28">
        <f t="shared" si="1"/>
        <v>49.925188734735571</v>
      </c>
      <c r="D61" s="6"/>
      <c r="E61" s="6"/>
    </row>
    <row r="62" spans="1:5" ht="17.5" customHeight="1">
      <c r="A62" s="22">
        <v>1843</v>
      </c>
      <c r="B62" s="28">
        <v>53.1027469556347</v>
      </c>
      <c r="C62" s="28">
        <f t="shared" si="1"/>
        <v>55.748140779705366</v>
      </c>
      <c r="D62" s="6"/>
      <c r="E62" s="6"/>
    </row>
    <row r="63" spans="1:5" ht="17.5" customHeight="1">
      <c r="A63" s="22">
        <v>1844</v>
      </c>
      <c r="B63" s="28">
        <v>59.4516921334043</v>
      </c>
      <c r="C63" s="28">
        <f t="shared" si="1"/>
        <v>61.912603203629885</v>
      </c>
      <c r="D63" s="6"/>
      <c r="E63" s="6"/>
    </row>
    <row r="64" spans="1:5" ht="17.5" customHeight="1">
      <c r="A64" s="22">
        <v>1845</v>
      </c>
      <c r="B64" s="28">
        <v>65.357878701945694</v>
      </c>
      <c r="C64" s="28">
        <f t="shared" si="1"/>
        <v>69.761476877822986</v>
      </c>
      <c r="D64" s="6"/>
      <c r="E64" s="6"/>
    </row>
    <row r="65" spans="1:5" ht="17.5" customHeight="1">
      <c r="A65" s="22">
        <v>1846</v>
      </c>
      <c r="B65" s="28">
        <v>75.926514324051197</v>
      </c>
      <c r="C65" s="28">
        <f t="shared" si="1"/>
        <v>80.693028279194536</v>
      </c>
      <c r="D65" s="6"/>
      <c r="E65" s="6"/>
    </row>
    <row r="66" spans="1:5" ht="17.5" customHeight="1">
      <c r="A66" s="22">
        <v>1847</v>
      </c>
      <c r="B66" s="28">
        <v>87.366147816395198</v>
      </c>
      <c r="C66" s="28">
        <f t="shared" si="1"/>
        <v>90.499789925414206</v>
      </c>
      <c r="D66" s="6"/>
      <c r="E66" s="6"/>
    </row>
    <row r="67" spans="1:5" ht="17.5" customHeight="1">
      <c r="A67" s="22">
        <v>1848</v>
      </c>
      <c r="B67" s="28">
        <v>94.886888878040807</v>
      </c>
      <c r="C67" s="28">
        <f t="shared" si="1"/>
        <v>96.321726408186606</v>
      </c>
      <c r="D67" s="6"/>
      <c r="E67" s="6"/>
    </row>
    <row r="68" spans="1:5" ht="17.5" customHeight="1">
      <c r="A68" s="22">
        <v>1849</v>
      </c>
      <c r="B68" s="28">
        <v>98.330498950390705</v>
      </c>
      <c r="C68" s="28">
        <f t="shared" si="1"/>
        <v>100.01988670117834</v>
      </c>
      <c r="D68" s="6"/>
      <c r="E68" s="6"/>
    </row>
    <row r="69" spans="1:5" ht="17.5" customHeight="1">
      <c r="A69" s="22">
        <v>1850</v>
      </c>
      <c r="B69" s="28">
        <v>102.385029552281</v>
      </c>
      <c r="C69" s="28">
        <f t="shared" si="1"/>
        <v>103.91160735385643</v>
      </c>
      <c r="D69" s="6"/>
      <c r="E69" s="6"/>
    </row>
    <row r="70" spans="1:5" ht="17.5" customHeight="1">
      <c r="A70" s="22">
        <v>1851</v>
      </c>
      <c r="B70" s="28">
        <v>106.048816276062</v>
      </c>
      <c r="C70" s="28">
        <f t="shared" si="1"/>
        <v>113.0451531019545</v>
      </c>
      <c r="D70" s="6"/>
      <c r="E70" s="6"/>
    </row>
    <row r="71" spans="1:5" ht="17.5" customHeight="1">
      <c r="A71" s="22">
        <v>1852</v>
      </c>
      <c r="B71" s="28">
        <v>122.840024658204</v>
      </c>
      <c r="C71" s="28">
        <f t="shared" si="1"/>
        <v>129.982662994039</v>
      </c>
      <c r="D71" s="6"/>
      <c r="E71" s="6"/>
    </row>
    <row r="72" spans="1:5" ht="17.5" customHeight="1">
      <c r="A72" s="22">
        <v>1853</v>
      </c>
      <c r="B72" s="28">
        <v>139.982356664208</v>
      </c>
      <c r="C72" s="28">
        <f t="shared" si="1"/>
        <v>141.12488435833552</v>
      </c>
      <c r="D72" s="6"/>
      <c r="E72" s="6"/>
    </row>
    <row r="73" spans="1:5" ht="17.5" customHeight="1">
      <c r="A73" s="22">
        <v>1854</v>
      </c>
      <c r="B73" s="28">
        <v>142.72442313011399</v>
      </c>
      <c r="C73" s="28">
        <f t="shared" ref="C73:C88" si="2">(7/12)*B73+(5/12)*B74</f>
        <v>143.024038784879</v>
      </c>
      <c r="D73" s="6"/>
      <c r="E73" s="6"/>
    </row>
    <row r="74" spans="1:5" ht="17.5" customHeight="1">
      <c r="A74" s="22">
        <v>1855</v>
      </c>
      <c r="B74" s="28">
        <v>143.44350070154999</v>
      </c>
      <c r="C74" s="28">
        <f t="shared" si="2"/>
        <v>145.94008510511918</v>
      </c>
      <c r="D74" s="6"/>
      <c r="E74" s="6"/>
    </row>
    <row r="75" spans="1:5" ht="17.5" customHeight="1">
      <c r="A75" s="22">
        <v>1856</v>
      </c>
      <c r="B75" s="28">
        <v>149.43530327011601</v>
      </c>
      <c r="C75" s="28">
        <f t="shared" si="2"/>
        <v>148.07538139514935</v>
      </c>
      <c r="D75" s="6"/>
      <c r="E75" s="6"/>
    </row>
    <row r="76" spans="1:5" ht="17.5" customHeight="1">
      <c r="A76" s="22">
        <v>1857</v>
      </c>
      <c r="B76" s="28">
        <v>146.17149077019599</v>
      </c>
      <c r="C76" s="28">
        <f t="shared" si="2"/>
        <v>142.57545696998682</v>
      </c>
      <c r="D76" s="6"/>
      <c r="E76" s="6"/>
    </row>
    <row r="77" spans="1:5" ht="17.5" customHeight="1">
      <c r="A77" s="22">
        <v>1858</v>
      </c>
      <c r="B77" s="28">
        <v>137.54100964969399</v>
      </c>
      <c r="C77" s="28">
        <f t="shared" si="2"/>
        <v>145.39647450319444</v>
      </c>
      <c r="D77" s="6"/>
      <c r="E77" s="6"/>
    </row>
    <row r="78" spans="1:5" ht="17.5" customHeight="1">
      <c r="A78" s="22">
        <v>1859</v>
      </c>
      <c r="B78" s="28">
        <v>156.39412529809499</v>
      </c>
      <c r="C78" s="28">
        <f t="shared" si="2"/>
        <v>157.00480580436667</v>
      </c>
      <c r="D78" s="6"/>
      <c r="E78" s="6"/>
    </row>
    <row r="79" spans="1:5" ht="17.5" customHeight="1">
      <c r="A79" s="22">
        <v>1860</v>
      </c>
      <c r="B79" s="28">
        <v>157.859758513147</v>
      </c>
      <c r="C79" s="28">
        <f t="shared" si="2"/>
        <v>157.28210975911412</v>
      </c>
      <c r="D79" s="6"/>
      <c r="E79" s="6"/>
    </row>
    <row r="80" spans="1:5" ht="17.5" customHeight="1">
      <c r="A80" s="22">
        <v>1861</v>
      </c>
      <c r="B80" s="28">
        <v>156.47340150346801</v>
      </c>
      <c r="C80" s="28">
        <f t="shared" si="2"/>
        <v>161.00505287541012</v>
      </c>
      <c r="D80" s="6"/>
      <c r="E80" s="6"/>
    </row>
    <row r="81" spans="1:5" ht="17.5" customHeight="1">
      <c r="A81" s="22">
        <v>1862</v>
      </c>
      <c r="B81" s="28">
        <v>167.34936479612901</v>
      </c>
      <c r="C81" s="28">
        <f t="shared" si="2"/>
        <v>175.66592590943776</v>
      </c>
      <c r="D81" s="6"/>
      <c r="E81" s="6"/>
    </row>
    <row r="82" spans="1:5" ht="17.5" customHeight="1">
      <c r="A82" s="22">
        <v>1863</v>
      </c>
      <c r="B82" s="28">
        <v>187.30911146807</v>
      </c>
      <c r="C82" s="28">
        <f t="shared" si="2"/>
        <v>192.85098591960292</v>
      </c>
      <c r="D82" s="6"/>
      <c r="E82" s="6"/>
    </row>
    <row r="83" spans="1:5" ht="17.5" customHeight="1">
      <c r="A83" s="22">
        <v>1864</v>
      </c>
      <c r="B83" s="28">
        <v>200.609610151749</v>
      </c>
      <c r="C83" s="28">
        <f t="shared" si="2"/>
        <v>196.2368516399865</v>
      </c>
      <c r="D83" s="6"/>
      <c r="E83" s="6"/>
    </row>
    <row r="84" spans="1:5" ht="17.5" customHeight="1">
      <c r="A84" s="22">
        <v>1865</v>
      </c>
      <c r="B84" s="28">
        <v>190.11498972351899</v>
      </c>
      <c r="C84" s="28">
        <f t="shared" si="2"/>
        <v>191.69471825380651</v>
      </c>
      <c r="D84" s="6"/>
      <c r="E84" s="6"/>
    </row>
    <row r="85" spans="1:5" ht="17.5" customHeight="1">
      <c r="A85" s="22">
        <v>1866</v>
      </c>
      <c r="B85" s="28">
        <v>193.90633819620899</v>
      </c>
      <c r="C85" s="28">
        <f t="shared" si="2"/>
        <v>200.63324872918565</v>
      </c>
      <c r="D85" s="6"/>
      <c r="E85" s="6"/>
    </row>
    <row r="86" spans="1:5" ht="17.5" customHeight="1">
      <c r="A86" s="22">
        <v>1867</v>
      </c>
      <c r="B86" s="28">
        <v>210.05092347535299</v>
      </c>
      <c r="C86" s="28">
        <f t="shared" si="2"/>
        <v>214.57194187033383</v>
      </c>
      <c r="D86" s="6"/>
      <c r="E86" s="6"/>
    </row>
    <row r="87" spans="1:5" ht="17.5" customHeight="1">
      <c r="A87" s="22">
        <v>1868</v>
      </c>
      <c r="B87" s="28">
        <v>220.90136762330701</v>
      </c>
      <c r="C87" s="28">
        <f t="shared" si="2"/>
        <v>227.80597111557535</v>
      </c>
      <c r="D87" s="6"/>
      <c r="E87" s="6"/>
    </row>
    <row r="88" spans="1:5" ht="17.5" customHeight="1">
      <c r="A88" s="22">
        <v>1869</v>
      </c>
      <c r="B88" s="28">
        <v>237.47241600475101</v>
      </c>
      <c r="C88" s="28">
        <f t="shared" si="2"/>
        <v>239.76250035346268</v>
      </c>
      <c r="D88" s="6"/>
      <c r="E88" s="6"/>
    </row>
    <row r="89" spans="1:5" ht="17.5" customHeight="1">
      <c r="A89" s="22">
        <v>1870</v>
      </c>
      <c r="B89" s="28">
        <v>242.968618441659</v>
      </c>
      <c r="C89" s="29"/>
      <c r="D89" s="6"/>
      <c r="E89" s="6"/>
    </row>
    <row r="90" spans="1:5" ht="17.5" customHeight="1">
      <c r="A90" s="22">
        <v>1871</v>
      </c>
      <c r="B90" s="28">
        <v>255.28671203809401</v>
      </c>
      <c r="C90" s="6"/>
      <c r="D90" s="6"/>
      <c r="E90" s="6"/>
    </row>
    <row r="91" spans="1:5" ht="17.5" customHeight="1">
      <c r="A91" s="22">
        <v>1872</v>
      </c>
      <c r="B91" s="28">
        <v>275.73831257657002</v>
      </c>
      <c r="C91" s="6"/>
      <c r="D91" s="6"/>
      <c r="E91" s="6"/>
    </row>
    <row r="92" spans="1:5" ht="17.5" customHeight="1">
      <c r="A92" s="22">
        <v>1873</v>
      </c>
      <c r="B92" s="28">
        <v>302.16695309635003</v>
      </c>
      <c r="C92" s="6"/>
      <c r="D92" s="6"/>
      <c r="E92" s="6"/>
    </row>
    <row r="93" spans="1:5" ht="17.5" customHeight="1">
      <c r="A93" s="22">
        <v>1874</v>
      </c>
      <c r="B93" s="28">
        <v>300.732434838416</v>
      </c>
      <c r="C93" s="6"/>
      <c r="D93" s="6"/>
      <c r="E93" s="6"/>
    </row>
    <row r="94" spans="1:5" ht="17.5" customHeight="1">
      <c r="A94" s="22">
        <v>1875</v>
      </c>
      <c r="B94" s="28">
        <v>284.16328342919002</v>
      </c>
      <c r="C94" s="6"/>
      <c r="D94" s="6"/>
      <c r="E94" s="6"/>
    </row>
    <row r="95" spans="1:5" ht="17.5" customHeight="1">
      <c r="A95" s="22">
        <v>1876</v>
      </c>
      <c r="B95" s="28">
        <v>294.00497631640502</v>
      </c>
      <c r="C95" s="6"/>
      <c r="D95" s="6"/>
      <c r="E95" s="6"/>
    </row>
    <row r="96" spans="1:5" ht="17.5" customHeight="1">
      <c r="A96" s="22">
        <v>1877</v>
      </c>
      <c r="B96" s="28">
        <v>297.75085498346402</v>
      </c>
      <c r="C96" s="6"/>
      <c r="D96" s="6"/>
      <c r="E96" s="6"/>
    </row>
    <row r="97" spans="1:5" ht="17.5" customHeight="1">
      <c r="A97" s="22">
        <v>1878</v>
      </c>
      <c r="B97" s="28">
        <v>313.99048697094599</v>
      </c>
      <c r="C97" s="6"/>
      <c r="D97" s="6"/>
      <c r="E97" s="6"/>
    </row>
    <row r="98" spans="1:5" ht="17.5" customHeight="1">
      <c r="A98" s="22">
        <v>1879</v>
      </c>
      <c r="B98" s="28">
        <v>356.37374732066201</v>
      </c>
      <c r="C98" s="6"/>
      <c r="D98" s="6"/>
      <c r="E98" s="6"/>
    </row>
    <row r="99" spans="1:5" ht="17.5" customHeight="1">
      <c r="A99" s="22">
        <v>1880</v>
      </c>
      <c r="B99" s="28">
        <v>400.85049840241902</v>
      </c>
      <c r="C99" s="29"/>
      <c r="D99" s="6"/>
      <c r="E99" s="6"/>
    </row>
    <row r="100" spans="1:5" ht="17.5" customHeight="1">
      <c r="A100" s="22">
        <v>1881</v>
      </c>
      <c r="B100" s="28">
        <v>478.12174286861102</v>
      </c>
      <c r="C100" s="6"/>
      <c r="D100" s="6"/>
      <c r="E100" s="6"/>
    </row>
    <row r="101" spans="1:5" ht="17.5" customHeight="1">
      <c r="A101" s="22">
        <v>1882</v>
      </c>
      <c r="B101" s="28">
        <v>509.45805778983498</v>
      </c>
      <c r="C101" s="6"/>
      <c r="D101" s="6"/>
      <c r="E101" s="6"/>
    </row>
    <row r="102" spans="1:5" ht="17.5" customHeight="1">
      <c r="A102" s="22">
        <v>1883</v>
      </c>
      <c r="B102" s="28">
        <v>523.802806302406</v>
      </c>
      <c r="C102" s="6"/>
      <c r="D102" s="6"/>
      <c r="E102" s="6"/>
    </row>
    <row r="103" spans="1:5" ht="17.5" customHeight="1">
      <c r="A103" s="22">
        <v>1884</v>
      </c>
      <c r="B103" s="28">
        <v>505.25059958552498</v>
      </c>
      <c r="C103" s="6"/>
      <c r="D103" s="6"/>
      <c r="E103" s="6"/>
    </row>
    <row r="104" spans="1:5" ht="17.5" customHeight="1">
      <c r="A104" s="22">
        <v>1885</v>
      </c>
      <c r="B104" s="28">
        <v>490.72105888833801</v>
      </c>
      <c r="C104" s="6"/>
      <c r="D104" s="6"/>
      <c r="E104" s="6"/>
    </row>
    <row r="105" spans="1:5" ht="17.5" customHeight="1">
      <c r="A105" s="22">
        <v>1886</v>
      </c>
      <c r="B105" s="28">
        <v>550.47930098923405</v>
      </c>
      <c r="C105" s="6"/>
      <c r="D105" s="6"/>
      <c r="E105" s="6"/>
    </row>
    <row r="106" spans="1:5" ht="17.5" customHeight="1">
      <c r="A106" s="22">
        <v>1887</v>
      </c>
      <c r="B106" s="28">
        <v>604.66816066306899</v>
      </c>
      <c r="C106" s="6"/>
      <c r="D106" s="6"/>
      <c r="E106" s="6"/>
    </row>
    <row r="107" spans="1:5" ht="17.5" customHeight="1">
      <c r="A107" s="22">
        <v>1888</v>
      </c>
      <c r="B107" s="28">
        <v>656.72487972110696</v>
      </c>
      <c r="C107" s="6"/>
      <c r="D107" s="6"/>
      <c r="E107" s="6"/>
    </row>
    <row r="108" spans="1:5" ht="17.5" customHeight="1">
      <c r="A108" s="22">
        <v>1889</v>
      </c>
      <c r="B108" s="28">
        <v>675.39542455401295</v>
      </c>
      <c r="C108" s="6"/>
      <c r="D108" s="6"/>
      <c r="E108" s="6"/>
    </row>
    <row r="109" spans="1:5" ht="17.5" customHeight="1">
      <c r="A109" s="22">
        <v>1890</v>
      </c>
      <c r="B109" s="28">
        <v>780.95476793597902</v>
      </c>
      <c r="C109" s="29"/>
      <c r="D109" s="6"/>
      <c r="E109" s="6"/>
    </row>
    <row r="110" spans="1:5" ht="17.5" customHeight="1">
      <c r="A110" s="22">
        <v>1891</v>
      </c>
      <c r="B110" s="28">
        <v>793.05007463037703</v>
      </c>
      <c r="C110" s="6"/>
      <c r="D110" s="6"/>
      <c r="E110" s="6"/>
    </row>
    <row r="111" spans="1:5" ht="17.5" customHeight="1">
      <c r="A111" s="22">
        <v>1892</v>
      </c>
      <c r="B111" s="28">
        <v>852.031054533011</v>
      </c>
      <c r="C111" s="6"/>
      <c r="D111" s="6"/>
      <c r="E111" s="6"/>
    </row>
    <row r="112" spans="1:5" ht="17.5" customHeight="1">
      <c r="A112" s="22">
        <v>1893</v>
      </c>
      <c r="B112" s="28">
        <v>778.16323006108098</v>
      </c>
      <c r="C112" s="6"/>
      <c r="D112" s="6"/>
      <c r="E112" s="6"/>
    </row>
    <row r="113" spans="1:5" ht="17.5" customHeight="1">
      <c r="A113" s="22">
        <v>1894</v>
      </c>
      <c r="B113" s="28">
        <v>721.98860594539497</v>
      </c>
      <c r="C113" s="6"/>
      <c r="D113" s="6"/>
      <c r="E113" s="6"/>
    </row>
    <row r="114" spans="1:5" ht="17.5" customHeight="1">
      <c r="A114" s="22">
        <v>1895</v>
      </c>
      <c r="B114" s="28">
        <v>846.79418265961397</v>
      </c>
      <c r="C114" s="6"/>
      <c r="D114" s="6"/>
      <c r="E114" s="6"/>
    </row>
    <row r="115" spans="1:5" ht="17.5" customHeight="1">
      <c r="A115" s="22">
        <v>1896</v>
      </c>
      <c r="B115" s="28">
        <v>820.909147926635</v>
      </c>
      <c r="C115" s="6"/>
      <c r="D115" s="6"/>
      <c r="E115" s="6"/>
    </row>
    <row r="116" spans="1:5" ht="17.5" customHeight="1">
      <c r="A116" s="22">
        <v>1897</v>
      </c>
      <c r="B116" s="28">
        <v>874.53011540389298</v>
      </c>
      <c r="C116" s="6"/>
      <c r="D116" s="6"/>
      <c r="E116" s="6"/>
    </row>
    <row r="117" spans="1:5" ht="17.5" customHeight="1">
      <c r="A117" s="22">
        <v>1898</v>
      </c>
      <c r="B117" s="28">
        <v>1030.2661691896701</v>
      </c>
      <c r="C117" s="6"/>
      <c r="D117" s="6"/>
      <c r="E117" s="6"/>
    </row>
    <row r="118" spans="1:5" ht="17.5" customHeight="1">
      <c r="A118" s="22">
        <v>1899</v>
      </c>
      <c r="B118" s="28">
        <v>1129.7384260536401</v>
      </c>
      <c r="C118" s="6"/>
      <c r="D118" s="6"/>
      <c r="E118" s="6"/>
    </row>
    <row r="119" spans="1:5" ht="17.5" customHeight="1">
      <c r="A119" s="22">
        <v>1900</v>
      </c>
      <c r="B119" s="28">
        <v>1182.1532300649501</v>
      </c>
      <c r="C119" s="29"/>
      <c r="D119" s="6"/>
      <c r="E119" s="6"/>
    </row>
    <row r="120" spans="1:5" ht="17.5" customHeight="1">
      <c r="A120" s="22">
        <v>1901</v>
      </c>
      <c r="B120" s="28">
        <v>1277.0588041695701</v>
      </c>
      <c r="C120" s="6"/>
      <c r="D120" s="6"/>
      <c r="E120" s="6"/>
    </row>
    <row r="121" spans="1:5" ht="17.5" customHeight="1">
      <c r="A121" s="22">
        <v>1902</v>
      </c>
      <c r="B121" s="28">
        <v>1369.3417469492699</v>
      </c>
      <c r="C121" s="6"/>
      <c r="D121" s="6"/>
      <c r="E121" s="6"/>
    </row>
    <row r="122" spans="1:5" ht="17.5" customHeight="1">
      <c r="A122" s="22">
        <v>1903</v>
      </c>
      <c r="B122" s="28">
        <v>1420.3391966680499</v>
      </c>
      <c r="C122" s="6"/>
      <c r="D122" s="6"/>
      <c r="E122" s="6"/>
    </row>
    <row r="123" spans="1:5" ht="17.5" customHeight="1">
      <c r="A123" s="22">
        <v>1904</v>
      </c>
      <c r="B123" s="28">
        <v>1353.1563629249699</v>
      </c>
      <c r="C123" s="6"/>
      <c r="D123" s="6"/>
      <c r="E123" s="6"/>
    </row>
    <row r="124" spans="1:5" ht="17.5" customHeight="1">
      <c r="A124" s="22">
        <v>1905</v>
      </c>
      <c r="B124" s="28">
        <v>1565.6413586763999</v>
      </c>
      <c r="C124" s="6"/>
      <c r="D124" s="6"/>
      <c r="E124" s="6"/>
    </row>
    <row r="125" spans="1:5" ht="17.5" customHeight="1">
      <c r="A125" s="22">
        <v>1906</v>
      </c>
      <c r="B125" s="28">
        <v>1644.91072233779</v>
      </c>
      <c r="C125" s="6"/>
      <c r="D125" s="6"/>
      <c r="E125" s="6"/>
    </row>
    <row r="126" spans="1:5" ht="17.5" customHeight="1">
      <c r="A126" s="22">
        <v>1907</v>
      </c>
      <c r="B126" s="28">
        <v>1713.2577700490599</v>
      </c>
      <c r="C126" s="6"/>
      <c r="D126" s="6"/>
      <c r="E126" s="6"/>
    </row>
    <row r="127" spans="1:5" ht="17.5" customHeight="1">
      <c r="A127" s="22">
        <v>1908</v>
      </c>
      <c r="B127" s="28">
        <v>1446.45656650367</v>
      </c>
      <c r="C127" s="6"/>
      <c r="D127" s="6"/>
      <c r="E127" s="6"/>
    </row>
    <row r="128" spans="1:5" ht="17.5" customHeight="1">
      <c r="A128" s="22">
        <v>1909</v>
      </c>
      <c r="B128" s="28">
        <v>1705.52398278499</v>
      </c>
      <c r="C128" s="6"/>
      <c r="D128" s="6"/>
      <c r="E128" s="6"/>
    </row>
    <row r="129" spans="1:5" ht="17.5" customHeight="1">
      <c r="A129" s="22">
        <v>1910</v>
      </c>
      <c r="B129" s="28">
        <v>1783.93716865535</v>
      </c>
      <c r="C129" s="29"/>
      <c r="D129" s="6"/>
      <c r="E129" s="6"/>
    </row>
    <row r="130" spans="1:5" ht="17.5" customHeight="1">
      <c r="A130" s="22">
        <v>1911</v>
      </c>
      <c r="B130" s="28">
        <v>1717.90501382755</v>
      </c>
      <c r="C130" s="6"/>
      <c r="D130" s="6"/>
      <c r="E130" s="6"/>
    </row>
    <row r="131" spans="1:5" ht="17.5" customHeight="1">
      <c r="A131" s="22">
        <v>1912</v>
      </c>
      <c r="B131" s="28">
        <v>1899.0835486313299</v>
      </c>
      <c r="C131" s="6"/>
      <c r="D131" s="6"/>
      <c r="E131" s="6"/>
    </row>
    <row r="132" spans="1:5" ht="17.5" customHeight="1">
      <c r="A132" s="22">
        <v>1913</v>
      </c>
      <c r="B132" s="28">
        <v>1975.00092583727</v>
      </c>
      <c r="C132" s="6"/>
      <c r="D132" s="6"/>
      <c r="E132" s="6"/>
    </row>
    <row r="133" spans="1:5" ht="17.5" customHeight="1">
      <c r="A133" s="22">
        <v>1914</v>
      </c>
      <c r="B133" s="28">
        <v>1774.1207088163901</v>
      </c>
      <c r="C133" s="6"/>
      <c r="D133" s="6"/>
      <c r="E133" s="6"/>
    </row>
    <row r="134" spans="1:5" ht="17.5" customHeight="1">
      <c r="A134" s="22">
        <v>1915</v>
      </c>
      <c r="B134" s="28">
        <v>1954.19989354882</v>
      </c>
      <c r="C134" s="6"/>
      <c r="D134" s="6"/>
      <c r="E134" s="6"/>
    </row>
  </sheetData>
  <mergeCells count="1">
    <mergeCell ref="B7:C7"/>
  </mergeCells>
  <pageMargins left="0.75" right="0.75" top="1" bottom="1" header="0.5" footer="0.5"/>
  <pageSetup orientation="portrait"/>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3"/>
  <sheetViews>
    <sheetView showGridLines="0" workbookViewId="0"/>
  </sheetViews>
  <sheetFormatPr baseColWidth="10" defaultColWidth="9.1640625" defaultRowHeight="16" customHeight="1"/>
  <cols>
    <col min="1" max="1" width="9.1640625" style="4" customWidth="1"/>
    <col min="2" max="4" width="11" style="4" customWidth="1"/>
    <col min="5" max="5" width="12.83203125" style="4" customWidth="1"/>
    <col min="6" max="6" width="11" style="4" customWidth="1"/>
    <col min="7" max="9" width="15.6640625" style="4" customWidth="1"/>
    <col min="10" max="10" width="13.1640625" style="4" customWidth="1"/>
    <col min="11" max="11" width="9.5" style="4" customWidth="1"/>
    <col min="12" max="13" width="9.1640625" style="4" customWidth="1"/>
    <col min="14" max="16384" width="9.1640625" style="4"/>
  </cols>
  <sheetData>
    <row r="1" spans="1:12" ht="17.5" customHeight="1">
      <c r="A1" s="8" t="s">
        <v>107</v>
      </c>
      <c r="B1" s="6"/>
      <c r="C1" s="6"/>
      <c r="D1" s="6"/>
      <c r="E1" s="6"/>
      <c r="F1" s="6"/>
      <c r="G1" s="6"/>
      <c r="H1" s="6"/>
      <c r="I1" s="6"/>
      <c r="J1" s="6"/>
      <c r="K1" s="6"/>
      <c r="L1" s="6"/>
    </row>
    <row r="2" spans="1:12" ht="17.5" customHeight="1">
      <c r="A2" s="8" t="s">
        <v>108</v>
      </c>
      <c r="B2" s="6"/>
      <c r="C2" s="6"/>
      <c r="D2" s="6"/>
      <c r="E2" s="6"/>
      <c r="F2" s="6"/>
      <c r="G2" s="6"/>
      <c r="H2" s="6"/>
      <c r="I2" s="6"/>
      <c r="J2" s="6"/>
      <c r="K2" s="6"/>
      <c r="L2" s="6"/>
    </row>
    <row r="3" spans="1:12" ht="17.5" customHeight="1">
      <c r="A3" s="8" t="s">
        <v>109</v>
      </c>
      <c r="B3" s="6"/>
      <c r="C3" s="6"/>
      <c r="D3" s="6"/>
      <c r="E3" s="6"/>
      <c r="F3" s="6"/>
      <c r="G3" s="6"/>
      <c r="H3" s="6"/>
      <c r="I3" s="6"/>
      <c r="J3" s="6"/>
      <c r="K3" s="6"/>
      <c r="L3" s="6"/>
    </row>
    <row r="4" spans="1:12" ht="17.5" customHeight="1">
      <c r="A4" s="8" t="s">
        <v>110</v>
      </c>
      <c r="B4" s="6"/>
      <c r="C4" s="6"/>
      <c r="D4" s="6"/>
      <c r="E4" s="6"/>
      <c r="F4" s="6"/>
      <c r="G4" s="6"/>
      <c r="H4" s="6"/>
      <c r="I4" s="6"/>
      <c r="J4" s="6"/>
      <c r="K4" s="6"/>
      <c r="L4" s="6"/>
    </row>
    <row r="5" spans="1:12" ht="13.75" customHeight="1">
      <c r="A5" s="6"/>
      <c r="B5" s="6"/>
      <c r="C5" s="6"/>
      <c r="D5" s="6"/>
      <c r="E5" s="6"/>
      <c r="F5" s="6"/>
      <c r="G5" s="6"/>
      <c r="H5" s="6"/>
      <c r="I5" s="6"/>
      <c r="J5" s="6"/>
      <c r="K5" s="6"/>
      <c r="L5" s="6"/>
    </row>
    <row r="6" spans="1:12" ht="17.5" customHeight="1">
      <c r="A6" s="6"/>
      <c r="B6" s="6"/>
      <c r="C6" s="6"/>
      <c r="D6" s="6"/>
      <c r="E6" s="6"/>
      <c r="F6" s="6"/>
      <c r="G6" s="6"/>
      <c r="H6" s="30"/>
      <c r="I6" s="30"/>
      <c r="J6" s="6"/>
      <c r="K6" s="6"/>
      <c r="L6" s="6"/>
    </row>
    <row r="7" spans="1:12" ht="102" customHeight="1">
      <c r="A7" s="8" t="s">
        <v>95</v>
      </c>
      <c r="B7" s="8" t="s">
        <v>111</v>
      </c>
      <c r="C7" s="8" t="s">
        <v>112</v>
      </c>
      <c r="D7" s="8" t="s">
        <v>113</v>
      </c>
      <c r="E7" s="8" t="s">
        <v>114</v>
      </c>
      <c r="F7" s="8" t="s">
        <v>115</v>
      </c>
      <c r="G7" s="8" t="s">
        <v>116</v>
      </c>
      <c r="H7" s="8" t="s">
        <v>117</v>
      </c>
      <c r="I7" s="12" t="s">
        <v>118</v>
      </c>
      <c r="J7" s="12" t="s">
        <v>119</v>
      </c>
      <c r="K7" s="8" t="s">
        <v>120</v>
      </c>
      <c r="L7" s="6"/>
    </row>
    <row r="8" spans="1:12" ht="17.5" customHeight="1">
      <c r="A8" s="22">
        <v>1700</v>
      </c>
      <c r="B8" s="22">
        <v>64</v>
      </c>
      <c r="C8" s="22">
        <v>30</v>
      </c>
      <c r="D8" s="22">
        <v>5</v>
      </c>
      <c r="E8" s="22">
        <v>6</v>
      </c>
      <c r="F8" s="22">
        <v>3</v>
      </c>
      <c r="G8" s="22">
        <v>20</v>
      </c>
      <c r="H8" s="17">
        <f>G8+0.6666*D8</f>
        <v>23.332999999999998</v>
      </c>
      <c r="I8" s="31">
        <f>H8/B8</f>
        <v>0.36457812499999998</v>
      </c>
      <c r="J8" s="32">
        <f>(C8+(0.33)*D8+E8+F8)/B8</f>
        <v>0.63515624999999998</v>
      </c>
      <c r="K8" s="6"/>
      <c r="L8" s="6"/>
    </row>
    <row r="9" spans="1:12" ht="17.5" customHeight="1">
      <c r="A9" s="22">
        <v>1750</v>
      </c>
      <c r="B9" s="22">
        <v>66</v>
      </c>
      <c r="C9" s="22">
        <v>30</v>
      </c>
      <c r="D9" s="22">
        <v>9</v>
      </c>
      <c r="E9" s="22">
        <v>4</v>
      </c>
      <c r="F9" s="22">
        <v>3</v>
      </c>
      <c r="G9" s="22">
        <v>20</v>
      </c>
      <c r="H9" s="17">
        <f>G9+0.6666*D9</f>
        <v>25.999400000000001</v>
      </c>
      <c r="I9" s="31">
        <f>H9/B9</f>
        <v>0.39393030303030308</v>
      </c>
      <c r="J9" s="32">
        <f>(C9+(0.33)*D9+E9+F9)/B9</f>
        <v>0.60560606060606059</v>
      </c>
      <c r="K9" s="33">
        <f>(J9/J8)^(1/(A9-A8))-1</f>
        <v>-9.5237264377634467E-4</v>
      </c>
      <c r="L9" s="6"/>
    </row>
    <row r="10" spans="1:12" ht="17.5" customHeight="1">
      <c r="A10" s="22">
        <v>1770</v>
      </c>
      <c r="B10" s="22">
        <v>68</v>
      </c>
      <c r="C10" s="22">
        <v>30</v>
      </c>
      <c r="D10" s="22">
        <v>8</v>
      </c>
      <c r="E10" s="22">
        <v>5</v>
      </c>
      <c r="F10" s="22">
        <v>3</v>
      </c>
      <c r="G10" s="22">
        <v>22</v>
      </c>
      <c r="H10" s="17">
        <f>G10+0.6666*D10</f>
        <v>27.332799999999999</v>
      </c>
      <c r="I10" s="31">
        <f>H10/B10</f>
        <v>0.40195294117647057</v>
      </c>
      <c r="J10" s="32">
        <f>(C10+(0.33)*D10+E10+F10)/B10</f>
        <v>0.59764705882352942</v>
      </c>
      <c r="K10" s="33">
        <f>(J10/J9)^(1/(A10-A9))-1</f>
        <v>-6.6124790931110233E-4</v>
      </c>
      <c r="L10" s="6"/>
    </row>
    <row r="11" spans="1:12" ht="17.5" customHeight="1">
      <c r="A11" s="22">
        <v>1800</v>
      </c>
      <c r="B11" s="22">
        <v>67</v>
      </c>
      <c r="C11" s="22">
        <v>30</v>
      </c>
      <c r="D11" s="22">
        <v>7</v>
      </c>
      <c r="E11" s="22">
        <v>3</v>
      </c>
      <c r="F11" s="22">
        <v>5</v>
      </c>
      <c r="G11" s="22">
        <v>22</v>
      </c>
      <c r="H11" s="17">
        <f>G11+0.6666*D11</f>
        <v>26.6662</v>
      </c>
      <c r="I11" s="31">
        <f>H11/B11</f>
        <v>0.39800298507462689</v>
      </c>
      <c r="J11" s="32">
        <f>(C11+(0.33)*D11+E11+F11)/B11</f>
        <v>0.60164179104477611</v>
      </c>
      <c r="K11" s="33">
        <f>(J11/J10)^(1/(A11-A10))-1</f>
        <v>2.22086645721431E-4</v>
      </c>
      <c r="L11" s="6"/>
    </row>
    <row r="12" spans="1:12" ht="13.75" customHeight="1">
      <c r="A12" s="6"/>
      <c r="B12" s="6"/>
      <c r="C12" s="6"/>
      <c r="D12" s="6"/>
      <c r="E12" s="6"/>
      <c r="F12" s="6"/>
      <c r="G12" s="6"/>
      <c r="H12" s="6"/>
      <c r="I12" s="6"/>
      <c r="J12" s="6"/>
      <c r="K12" s="6"/>
      <c r="L12" s="6"/>
    </row>
    <row r="13" spans="1:12" ht="17.5" customHeight="1">
      <c r="A13" s="8" t="s">
        <v>121</v>
      </c>
      <c r="B13" s="6"/>
      <c r="C13" s="6"/>
      <c r="D13" s="6"/>
      <c r="E13" s="6"/>
      <c r="F13" s="6"/>
      <c r="G13" s="6"/>
      <c r="H13" s="6"/>
      <c r="I13" s="6"/>
      <c r="J13" s="6"/>
      <c r="K13" s="6"/>
      <c r="L13" s="6"/>
    </row>
  </sheetData>
  <pageMargins left="0.75" right="0.75" top="1" bottom="1" header="0.5" footer="0.5"/>
  <pageSetup orientation="portrait"/>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2"/>
  <sheetViews>
    <sheetView showGridLines="0" workbookViewId="0"/>
  </sheetViews>
  <sheetFormatPr baseColWidth="10" defaultColWidth="9.1640625" defaultRowHeight="16" customHeight="1"/>
  <cols>
    <col min="1" max="1" width="9.1640625" style="4" customWidth="1"/>
    <col min="2" max="2" width="13.1640625" style="4" customWidth="1"/>
    <col min="3" max="3" width="11.83203125" style="4" customWidth="1"/>
    <col min="4" max="4" width="12.83203125" style="4" customWidth="1"/>
    <col min="5" max="6" width="9.1640625" style="4" customWidth="1"/>
    <col min="7" max="16384" width="9.1640625" style="4"/>
  </cols>
  <sheetData>
    <row r="1" spans="1:5" ht="17.5" customHeight="1">
      <c r="A1" s="8" t="s">
        <v>123</v>
      </c>
      <c r="B1" s="6"/>
      <c r="C1" s="6"/>
      <c r="D1" s="6"/>
      <c r="E1" s="6"/>
    </row>
    <row r="2" spans="1:5" ht="17.5" customHeight="1">
      <c r="A2" s="8" t="s">
        <v>124</v>
      </c>
      <c r="B2" s="6"/>
      <c r="C2" s="6"/>
      <c r="D2" s="6"/>
      <c r="E2" s="6"/>
    </row>
    <row r="3" spans="1:5" ht="17.5" customHeight="1">
      <c r="A3" s="8" t="s">
        <v>125</v>
      </c>
      <c r="B3" s="6"/>
      <c r="C3" s="6"/>
      <c r="D3" s="6"/>
      <c r="E3" s="6"/>
    </row>
    <row r="4" spans="1:5" ht="13.75" customHeight="1">
      <c r="A4" s="6"/>
      <c r="B4" s="6"/>
      <c r="C4" s="6"/>
      <c r="D4" s="6"/>
      <c r="E4" s="6"/>
    </row>
    <row r="5" spans="1:5" ht="13.75" customHeight="1">
      <c r="A5" s="6"/>
      <c r="B5" s="6"/>
      <c r="C5" s="6"/>
      <c r="D5" s="6"/>
      <c r="E5" s="6"/>
    </row>
    <row r="6" spans="1:5" ht="68" customHeight="1">
      <c r="A6" s="6"/>
      <c r="B6" s="12" t="s">
        <v>126</v>
      </c>
      <c r="C6" s="12" t="s">
        <v>127</v>
      </c>
      <c r="D6" s="12" t="s">
        <v>128</v>
      </c>
      <c r="E6" s="6"/>
    </row>
    <row r="7" spans="1:5" ht="17.5" customHeight="1">
      <c r="A7" s="22">
        <v>1650</v>
      </c>
      <c r="B7" s="34">
        <v>1500</v>
      </c>
      <c r="C7" s="22">
        <v>50</v>
      </c>
      <c r="D7" s="22">
        <v>130</v>
      </c>
      <c r="E7" s="6"/>
    </row>
    <row r="8" spans="1:5" ht="17.5" customHeight="1">
      <c r="A8" s="22">
        <v>1720</v>
      </c>
      <c r="B8" s="34">
        <v>21250</v>
      </c>
      <c r="C8" s="22">
        <v>466</v>
      </c>
      <c r="D8" s="22">
        <v>73</v>
      </c>
      <c r="E8" s="6"/>
    </row>
    <row r="9" spans="1:5" ht="17.5" customHeight="1">
      <c r="A9" s="22">
        <v>1774</v>
      </c>
      <c r="B9" s="34">
        <v>152460</v>
      </c>
      <c r="C9" s="22">
        <v>2420</v>
      </c>
      <c r="D9" s="22">
        <v>93</v>
      </c>
      <c r="E9" s="6"/>
    </row>
    <row r="10" spans="1:5" ht="17.5" customHeight="1">
      <c r="A10" s="22">
        <v>1781</v>
      </c>
      <c r="B10" s="34">
        <v>155030</v>
      </c>
      <c r="C10" s="22">
        <v>2895</v>
      </c>
      <c r="D10" s="22">
        <v>128</v>
      </c>
      <c r="E10" s="6"/>
    </row>
    <row r="11" spans="1:5" ht="17.5" customHeight="1">
      <c r="A11" s="22">
        <v>1793</v>
      </c>
      <c r="B11" s="34">
        <v>251890</v>
      </c>
      <c r="C11" s="22">
        <v>4343</v>
      </c>
      <c r="D11" s="22">
        <v>114</v>
      </c>
      <c r="E11" s="6"/>
    </row>
    <row r="12" spans="1:5" ht="17.5" customHeight="1">
      <c r="A12" s="22">
        <v>1800</v>
      </c>
      <c r="B12" s="34">
        <v>350330</v>
      </c>
      <c r="C12" s="22">
        <v>5308</v>
      </c>
      <c r="D12" s="22">
        <v>145</v>
      </c>
      <c r="E12" s="6"/>
    </row>
  </sheetData>
  <pageMargins left="0.75" right="0.75" top="1" bottom="1" header="0.5" footer="0.5"/>
  <pageSetup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60"/>
  <sheetViews>
    <sheetView showGridLines="0" workbookViewId="0"/>
  </sheetViews>
  <sheetFormatPr baseColWidth="10" defaultColWidth="9.1640625" defaultRowHeight="16" customHeight="1"/>
  <cols>
    <col min="1" max="1" width="7.83203125" style="4" customWidth="1"/>
    <col min="2" max="2" width="14.6640625" style="4" customWidth="1"/>
    <col min="3" max="3" width="13.33203125" style="4" customWidth="1"/>
    <col min="4" max="4" width="16.83203125" style="4" customWidth="1"/>
    <col min="5" max="5" width="12" style="4" customWidth="1"/>
    <col min="6" max="6" width="15" style="4" customWidth="1"/>
    <col min="7" max="7" width="9.1640625" style="4" customWidth="1"/>
    <col min="8" max="16384" width="9.1640625" style="4"/>
  </cols>
  <sheetData>
    <row r="1" spans="1:6" ht="17.5" customHeight="1">
      <c r="A1" s="8" t="s">
        <v>130</v>
      </c>
      <c r="B1" s="6"/>
      <c r="C1" s="6"/>
      <c r="D1" s="6"/>
      <c r="E1" s="6"/>
      <c r="F1" s="6"/>
    </row>
    <row r="2" spans="1:6" ht="17.5" customHeight="1">
      <c r="A2" s="8" t="s">
        <v>131</v>
      </c>
      <c r="B2" s="6"/>
      <c r="C2" s="6"/>
      <c r="D2" s="6"/>
      <c r="E2" s="6"/>
      <c r="F2" s="6"/>
    </row>
    <row r="3" spans="1:6" ht="17.5" customHeight="1">
      <c r="A3" s="8" t="s">
        <v>132</v>
      </c>
      <c r="B3" s="6"/>
      <c r="C3" s="6"/>
      <c r="D3" s="6"/>
      <c r="E3" s="6"/>
      <c r="F3" s="6"/>
    </row>
    <row r="4" spans="1:6" ht="17.5" customHeight="1">
      <c r="A4" s="8" t="s">
        <v>133</v>
      </c>
      <c r="B4" s="6"/>
      <c r="C4" s="6"/>
      <c r="D4" s="6"/>
      <c r="E4" s="6"/>
      <c r="F4" s="6"/>
    </row>
    <row r="5" spans="1:6" ht="13.75" customHeight="1">
      <c r="A5" s="6"/>
      <c r="B5" s="6"/>
      <c r="C5" s="6"/>
      <c r="D5" s="6"/>
      <c r="E5" s="6"/>
      <c r="F5" s="6"/>
    </row>
    <row r="6" spans="1:6" ht="13.75" customHeight="1">
      <c r="A6" s="6"/>
      <c r="B6" s="6"/>
      <c r="C6" s="6"/>
      <c r="D6" s="6"/>
      <c r="E6" s="6"/>
      <c r="F6" s="6"/>
    </row>
    <row r="7" spans="1:6" ht="17.5" customHeight="1">
      <c r="A7" s="8" t="s">
        <v>134</v>
      </c>
      <c r="B7" s="6"/>
      <c r="C7" s="6"/>
      <c r="D7" s="6"/>
      <c r="E7" s="6"/>
      <c r="F7" s="6"/>
    </row>
    <row r="8" spans="1:6" ht="13.75" customHeight="1">
      <c r="A8" s="6"/>
      <c r="B8" s="6"/>
      <c r="C8" s="6"/>
      <c r="D8" s="6"/>
      <c r="E8" s="6"/>
      <c r="F8" s="6"/>
    </row>
    <row r="9" spans="1:6" ht="17.5" customHeight="1">
      <c r="A9" s="35" t="s">
        <v>95</v>
      </c>
      <c r="B9" s="8" t="s">
        <v>135</v>
      </c>
      <c r="C9" s="8" t="s">
        <v>136</v>
      </c>
      <c r="D9" s="8" t="s">
        <v>137</v>
      </c>
      <c r="E9" s="8" t="s">
        <v>138</v>
      </c>
      <c r="F9" s="8" t="s">
        <v>139</v>
      </c>
    </row>
    <row r="10" spans="1:6" ht="17.5" customHeight="1">
      <c r="A10" s="22">
        <v>1811</v>
      </c>
      <c r="B10" s="17">
        <v>3.1</v>
      </c>
      <c r="C10" s="17">
        <v>0.2</v>
      </c>
      <c r="D10" s="17">
        <v>3.1</v>
      </c>
      <c r="E10" s="17">
        <v>-0.7</v>
      </c>
      <c r="F10" s="17">
        <v>5.6</v>
      </c>
    </row>
    <row r="11" spans="1:6" ht="17.5" customHeight="1">
      <c r="A11" s="22">
        <v>1812</v>
      </c>
      <c r="B11" s="17">
        <v>6.4</v>
      </c>
      <c r="C11" s="17">
        <v>0.4</v>
      </c>
      <c r="D11" s="17">
        <v>10.4</v>
      </c>
      <c r="E11" s="17">
        <v>-0.8</v>
      </c>
      <c r="F11" s="17">
        <v>16.399999999999999</v>
      </c>
    </row>
    <row r="12" spans="1:6" ht="17.5" customHeight="1">
      <c r="A12" s="22">
        <v>1813</v>
      </c>
      <c r="B12" s="17">
        <v>11</v>
      </c>
      <c r="C12" s="17">
        <v>1.1000000000000001</v>
      </c>
      <c r="D12" s="17">
        <v>16.100000000000001</v>
      </c>
      <c r="E12" s="17">
        <v>-1</v>
      </c>
      <c r="F12" s="17">
        <v>27.2</v>
      </c>
    </row>
    <row r="13" spans="1:6" ht="17.5" customHeight="1">
      <c r="A13" s="22">
        <v>1814</v>
      </c>
      <c r="B13" s="17">
        <v>12.7</v>
      </c>
      <c r="C13" s="17">
        <v>1.7</v>
      </c>
      <c r="D13" s="17">
        <v>16.2</v>
      </c>
      <c r="E13" s="17">
        <v>-0.9</v>
      </c>
      <c r="F13" s="17">
        <v>29.6</v>
      </c>
    </row>
    <row r="14" spans="1:6" ht="17.5" customHeight="1">
      <c r="A14" s="22">
        <v>1815</v>
      </c>
      <c r="B14" s="17">
        <v>11.5</v>
      </c>
      <c r="C14" s="17">
        <v>1.9</v>
      </c>
      <c r="D14" s="17">
        <v>14.4</v>
      </c>
      <c r="E14" s="17">
        <v>-1.3</v>
      </c>
      <c r="F14" s="17">
        <v>26.5</v>
      </c>
    </row>
    <row r="15" spans="1:6" ht="17.5" customHeight="1">
      <c r="A15" s="22">
        <v>1816</v>
      </c>
      <c r="B15" s="17">
        <v>11.8</v>
      </c>
      <c r="C15" s="17">
        <v>1</v>
      </c>
      <c r="D15" s="17">
        <v>11</v>
      </c>
      <c r="E15" s="17">
        <v>-1.2</v>
      </c>
      <c r="F15" s="17">
        <v>22.6</v>
      </c>
    </row>
    <row r="16" spans="1:6" ht="17.5" customHeight="1">
      <c r="A16" s="22">
        <v>1817</v>
      </c>
      <c r="B16" s="17">
        <v>6</v>
      </c>
      <c r="C16" s="17">
        <v>1.3</v>
      </c>
      <c r="D16" s="17">
        <v>7.2</v>
      </c>
      <c r="E16" s="17">
        <v>-1.1000000000000001</v>
      </c>
      <c r="F16" s="17">
        <v>13.4</v>
      </c>
    </row>
    <row r="17" spans="1:6" ht="17.5" customHeight="1">
      <c r="A17" s="22">
        <v>1818</v>
      </c>
      <c r="B17" s="17">
        <v>6.2</v>
      </c>
      <c r="C17" s="17">
        <v>1.8</v>
      </c>
      <c r="D17" s="17">
        <v>7.1</v>
      </c>
      <c r="E17" s="17">
        <v>-1.2</v>
      </c>
      <c r="F17" s="17">
        <v>13.9</v>
      </c>
    </row>
    <row r="18" spans="1:6" ht="17.5" customHeight="1">
      <c r="A18" s="22">
        <v>1819</v>
      </c>
      <c r="B18" s="17">
        <v>5.7</v>
      </c>
      <c r="C18" s="17">
        <v>2.7</v>
      </c>
      <c r="D18" s="17">
        <v>6.3</v>
      </c>
      <c r="E18" s="17">
        <v>-1.3</v>
      </c>
      <c r="F18" s="17">
        <v>13.3</v>
      </c>
    </row>
    <row r="19" spans="1:6" ht="17.5" customHeight="1">
      <c r="A19" s="22">
        <v>1820</v>
      </c>
      <c r="B19" s="17">
        <v>6.4</v>
      </c>
      <c r="C19" s="17">
        <v>2.2999999999999998</v>
      </c>
      <c r="D19" s="17">
        <v>4.7</v>
      </c>
      <c r="E19" s="17">
        <v>-1.2</v>
      </c>
      <c r="F19" s="17">
        <v>12.2</v>
      </c>
    </row>
    <row r="20" spans="1:6" ht="17.5" customHeight="1">
      <c r="A20" s="22">
        <v>1821</v>
      </c>
      <c r="B20" s="17">
        <v>5.7</v>
      </c>
      <c r="C20" s="17">
        <v>1.5</v>
      </c>
      <c r="D20" s="17">
        <v>3.9</v>
      </c>
      <c r="E20" s="17">
        <v>-1.1000000000000001</v>
      </c>
      <c r="F20" s="17">
        <v>10</v>
      </c>
    </row>
    <row r="21" spans="1:6" ht="17.5" customHeight="1">
      <c r="A21" s="22">
        <v>1822</v>
      </c>
      <c r="B21" s="17">
        <v>4.7</v>
      </c>
      <c r="C21" s="17">
        <v>1</v>
      </c>
      <c r="D21" s="17">
        <v>4.0999999999999996</v>
      </c>
      <c r="E21" s="17">
        <v>-1.2</v>
      </c>
      <c r="F21" s="17">
        <v>8.6</v>
      </c>
    </row>
    <row r="22" spans="1:6" ht="17.5" customHeight="1">
      <c r="A22" s="22">
        <v>1823</v>
      </c>
      <c r="B22" s="17">
        <v>4.9000000000000004</v>
      </c>
      <c r="C22" s="17">
        <v>0.9</v>
      </c>
      <c r="D22" s="17">
        <v>3.8</v>
      </c>
      <c r="E22" s="17">
        <v>-1.2</v>
      </c>
      <c r="F22" s="17">
        <v>8.4</v>
      </c>
    </row>
    <row r="23" spans="1:6" ht="17.5" customHeight="1">
      <c r="A23" s="22">
        <v>1824</v>
      </c>
      <c r="B23" s="17">
        <v>5.4</v>
      </c>
      <c r="C23" s="17">
        <v>0.9</v>
      </c>
      <c r="D23" s="17">
        <v>3.9</v>
      </c>
      <c r="E23" s="17">
        <v>-1.2</v>
      </c>
      <c r="F23" s="17">
        <v>9</v>
      </c>
    </row>
    <row r="24" spans="1:6" ht="17.5" customHeight="1">
      <c r="A24" s="22">
        <v>1825</v>
      </c>
      <c r="B24" s="22">
        <v>5.5</v>
      </c>
      <c r="C24" s="22">
        <v>1.8</v>
      </c>
      <c r="D24" s="22">
        <v>3.6</v>
      </c>
      <c r="E24" s="22">
        <v>-1.3</v>
      </c>
      <c r="F24" s="22">
        <v>9.6</v>
      </c>
    </row>
    <row r="25" spans="1:6" ht="17.5" customHeight="1">
      <c r="A25" s="22">
        <v>1826</v>
      </c>
      <c r="B25" s="22">
        <v>6</v>
      </c>
      <c r="C25" s="22">
        <v>2.1</v>
      </c>
      <c r="D25" s="22">
        <v>4.5</v>
      </c>
      <c r="E25" s="22">
        <v>-1.5</v>
      </c>
      <c r="F25" s="22">
        <v>11.1</v>
      </c>
    </row>
    <row r="26" spans="1:6" ht="17.5" customHeight="1">
      <c r="A26" s="22">
        <v>1827</v>
      </c>
      <c r="B26" s="22">
        <v>6.1</v>
      </c>
      <c r="C26" s="22">
        <v>2.1</v>
      </c>
      <c r="D26" s="22">
        <v>4.7</v>
      </c>
      <c r="E26" s="22">
        <v>-1.6</v>
      </c>
      <c r="F26" s="22">
        <v>11.3</v>
      </c>
    </row>
    <row r="27" spans="1:6" ht="17.5" customHeight="1">
      <c r="A27" s="22">
        <v>1828</v>
      </c>
      <c r="B27" s="22">
        <v>6.2</v>
      </c>
      <c r="C27" s="22">
        <v>1.5</v>
      </c>
      <c r="D27" s="22">
        <v>5.6</v>
      </c>
      <c r="E27" s="22">
        <v>-1.7</v>
      </c>
      <c r="F27" s="22">
        <v>11.6</v>
      </c>
    </row>
    <row r="28" spans="1:6" ht="17.5" customHeight="1">
      <c r="A28" s="22">
        <v>1829</v>
      </c>
      <c r="B28" s="22">
        <v>6.2</v>
      </c>
      <c r="C28" s="22">
        <v>1.7</v>
      </c>
      <c r="D28" s="22">
        <v>5.7</v>
      </c>
      <c r="E28" s="22">
        <v>-1.8</v>
      </c>
      <c r="F28" s="22">
        <v>11.8</v>
      </c>
    </row>
    <row r="29" spans="1:6" ht="17.5" customHeight="1">
      <c r="A29" s="22">
        <v>1830</v>
      </c>
      <c r="B29" s="22">
        <v>6.3</v>
      </c>
      <c r="C29" s="22">
        <v>1.7</v>
      </c>
      <c r="D29" s="22">
        <v>5.6</v>
      </c>
      <c r="E29" s="22">
        <v>-2</v>
      </c>
      <c r="F29" s="22">
        <v>11.6</v>
      </c>
    </row>
    <row r="30" spans="1:6" ht="17.5" customHeight="1">
      <c r="A30" s="22">
        <v>1831</v>
      </c>
      <c r="B30" s="22">
        <v>6.9</v>
      </c>
      <c r="C30" s="22">
        <v>1.8</v>
      </c>
      <c r="D30" s="22">
        <v>5.8</v>
      </c>
      <c r="E30" s="22">
        <v>-2.1</v>
      </c>
      <c r="F30" s="22">
        <v>12.5</v>
      </c>
    </row>
    <row r="31" spans="1:6" ht="17.5" customHeight="1">
      <c r="A31" s="22">
        <v>1832</v>
      </c>
      <c r="B31" s="22">
        <v>7.3</v>
      </c>
      <c r="C31" s="22">
        <v>1.7</v>
      </c>
      <c r="D31" s="22">
        <v>7.7</v>
      </c>
      <c r="E31" s="22">
        <v>-2.5</v>
      </c>
      <c r="F31" s="22">
        <v>14.2</v>
      </c>
    </row>
    <row r="32" spans="1:6" ht="17.5" customHeight="1">
      <c r="A32" s="22">
        <v>1833</v>
      </c>
      <c r="B32" s="22">
        <v>8.5</v>
      </c>
      <c r="C32" s="22">
        <v>2.4</v>
      </c>
      <c r="D32" s="22">
        <v>7.8</v>
      </c>
      <c r="E32" s="22">
        <v>-2.7</v>
      </c>
      <c r="F32" s="22">
        <v>16</v>
      </c>
    </row>
    <row r="33" spans="1:6" ht="17.5" customHeight="1">
      <c r="A33" s="22">
        <v>1834</v>
      </c>
      <c r="B33" s="22">
        <v>8</v>
      </c>
      <c r="C33" s="22">
        <v>2.1</v>
      </c>
      <c r="D33" s="22">
        <v>7.6</v>
      </c>
      <c r="E33" s="22">
        <v>-2.9</v>
      </c>
      <c r="F33" s="22">
        <v>14.8</v>
      </c>
    </row>
    <row r="34" spans="1:6" ht="17.5" customHeight="1">
      <c r="A34" s="22">
        <v>1835</v>
      </c>
      <c r="B34" s="22">
        <v>8.1</v>
      </c>
      <c r="C34" s="22">
        <v>2.6</v>
      </c>
      <c r="D34" s="22">
        <v>7.2</v>
      </c>
      <c r="E34" s="22">
        <v>-3.3</v>
      </c>
      <c r="F34" s="22">
        <v>14.6</v>
      </c>
    </row>
    <row r="35" spans="1:6" ht="17.5" customHeight="1">
      <c r="A35" s="22">
        <v>1836</v>
      </c>
      <c r="B35" s="22">
        <v>10.199999999999999</v>
      </c>
      <c r="C35" s="22">
        <v>3.4</v>
      </c>
      <c r="D35" s="22">
        <v>14.2</v>
      </c>
      <c r="E35" s="22">
        <v>-3.7</v>
      </c>
      <c r="F35" s="22">
        <v>24.1</v>
      </c>
    </row>
    <row r="36" spans="1:6" ht="17.5" customHeight="1">
      <c r="A36" s="22">
        <v>1837</v>
      </c>
      <c r="B36" s="22">
        <v>11.6</v>
      </c>
      <c r="C36" s="22">
        <v>4.0999999999999996</v>
      </c>
      <c r="D36" s="22">
        <v>16.5</v>
      </c>
      <c r="E36" s="22">
        <v>-4.3</v>
      </c>
      <c r="F36" s="22">
        <v>27.9</v>
      </c>
    </row>
    <row r="37" spans="1:6" ht="17.5" customHeight="1">
      <c r="A37" s="22">
        <v>1838</v>
      </c>
      <c r="B37" s="22">
        <v>11.7</v>
      </c>
      <c r="C37" s="22">
        <v>2.9</v>
      </c>
      <c r="D37" s="22">
        <v>19.8</v>
      </c>
      <c r="E37" s="22">
        <v>-4.7</v>
      </c>
      <c r="F37" s="22">
        <v>29.7</v>
      </c>
    </row>
    <row r="38" spans="1:6" ht="17.5" customHeight="1">
      <c r="A38" s="22">
        <v>1839</v>
      </c>
      <c r="B38" s="22">
        <v>11</v>
      </c>
      <c r="C38" s="22">
        <v>2.8</v>
      </c>
      <c r="D38" s="22">
        <v>14.9</v>
      </c>
      <c r="E38" s="22">
        <v>-4.7</v>
      </c>
      <c r="F38" s="22">
        <v>24.1</v>
      </c>
    </row>
    <row r="39" spans="1:6" ht="17.5" customHeight="1">
      <c r="A39" s="22">
        <v>1840</v>
      </c>
      <c r="B39" s="22">
        <v>11.3</v>
      </c>
      <c r="C39" s="22">
        <v>1.5</v>
      </c>
      <c r="D39" s="22">
        <v>13.6</v>
      </c>
      <c r="E39" s="22">
        <v>-4.5999999999999996</v>
      </c>
      <c r="F39" s="22">
        <v>21.8</v>
      </c>
    </row>
    <row r="40" spans="1:6" ht="17.5" customHeight="1">
      <c r="A40" s="22">
        <v>1841</v>
      </c>
      <c r="B40" s="22">
        <v>11.3</v>
      </c>
      <c r="C40" s="22">
        <v>1.5</v>
      </c>
      <c r="D40" s="22">
        <v>14.1</v>
      </c>
      <c r="E40" s="22">
        <v>-4.5</v>
      </c>
      <c r="F40" s="22">
        <v>22.4</v>
      </c>
    </row>
    <row r="41" spans="1:6" ht="17.5" customHeight="1">
      <c r="A41" s="22">
        <v>1842</v>
      </c>
      <c r="B41" s="22">
        <v>11.6</v>
      </c>
      <c r="C41" s="22">
        <v>1.7</v>
      </c>
      <c r="D41" s="22">
        <v>13.5</v>
      </c>
      <c r="E41" s="22">
        <v>-4.5999999999999996</v>
      </c>
      <c r="F41" s="22">
        <v>22.2</v>
      </c>
    </row>
    <row r="42" spans="1:6" ht="17.5" customHeight="1">
      <c r="A42" s="22">
        <v>1843</v>
      </c>
      <c r="B42" s="22">
        <v>5.6</v>
      </c>
      <c r="C42" s="22">
        <v>0.7</v>
      </c>
      <c r="D42" s="22">
        <v>5.5</v>
      </c>
      <c r="E42" s="22">
        <v>-2.2000000000000002</v>
      </c>
      <c r="F42" s="22">
        <v>9.6</v>
      </c>
    </row>
    <row r="43" spans="1:6" ht="17.5" customHeight="1">
      <c r="A43" s="22">
        <v>1844</v>
      </c>
      <c r="B43" s="22">
        <v>11.4</v>
      </c>
      <c r="C43" s="22">
        <v>1.1000000000000001</v>
      </c>
      <c r="D43" s="22">
        <v>10</v>
      </c>
      <c r="E43" s="22">
        <v>-4.4000000000000004</v>
      </c>
      <c r="F43" s="22">
        <v>18.100000000000001</v>
      </c>
    </row>
    <row r="44" spans="1:6" ht="17.5" customHeight="1">
      <c r="A44" s="22">
        <v>1845</v>
      </c>
      <c r="B44" s="22">
        <v>11.3</v>
      </c>
      <c r="C44" s="22">
        <v>1.5</v>
      </c>
      <c r="D44" s="22">
        <v>10.199999999999999</v>
      </c>
      <c r="E44" s="22">
        <v>-4.5</v>
      </c>
      <c r="F44" s="22">
        <v>18.5</v>
      </c>
    </row>
    <row r="45" spans="1:6" ht="17.5" customHeight="1">
      <c r="A45" s="22">
        <v>1846</v>
      </c>
      <c r="B45" s="22">
        <v>12.1</v>
      </c>
      <c r="C45" s="22">
        <v>1.7</v>
      </c>
      <c r="D45" s="22">
        <v>12.3</v>
      </c>
      <c r="E45" s="22">
        <v>-3.6</v>
      </c>
      <c r="F45" s="22">
        <v>22.5</v>
      </c>
    </row>
    <row r="46" spans="1:6" ht="17.5" customHeight="1">
      <c r="A46" s="22">
        <v>1847</v>
      </c>
      <c r="B46" s="22">
        <v>17</v>
      </c>
      <c r="C46" s="22">
        <v>1.4</v>
      </c>
      <c r="D46" s="22">
        <v>27.4</v>
      </c>
      <c r="E46" s="22">
        <v>-4</v>
      </c>
      <c r="F46" s="22">
        <v>41.8</v>
      </c>
    </row>
    <row r="47" spans="1:6" ht="17.5" customHeight="1">
      <c r="A47" s="22">
        <v>1848</v>
      </c>
      <c r="B47" s="22">
        <v>20.5</v>
      </c>
      <c r="C47" s="22">
        <v>2</v>
      </c>
      <c r="D47" s="22">
        <v>29.3</v>
      </c>
      <c r="E47" s="22">
        <v>-4.5999999999999996</v>
      </c>
      <c r="F47" s="22">
        <v>47.2</v>
      </c>
    </row>
    <row r="48" spans="1:6" ht="17.5" customHeight="1">
      <c r="A48" s="22">
        <v>1849</v>
      </c>
      <c r="B48" s="22">
        <v>13.7</v>
      </c>
      <c r="C48" s="22">
        <v>3.2</v>
      </c>
      <c r="D48" s="22">
        <v>24.6</v>
      </c>
      <c r="E48" s="22">
        <v>-5.9</v>
      </c>
      <c r="F48" s="22">
        <v>35.6</v>
      </c>
    </row>
    <row r="49" spans="1:6" ht="17.5" customHeight="1">
      <c r="A49" s="22">
        <v>1850</v>
      </c>
      <c r="B49" s="22">
        <v>13.6</v>
      </c>
      <c r="C49" s="22">
        <v>3.1</v>
      </c>
      <c r="D49" s="22">
        <v>15</v>
      </c>
      <c r="E49" s="22">
        <v>-5.9</v>
      </c>
      <c r="F49" s="22">
        <v>25.8</v>
      </c>
    </row>
    <row r="50" spans="1:6" ht="17.5" customHeight="1">
      <c r="A50" s="22">
        <v>1851</v>
      </c>
      <c r="B50" s="22">
        <v>15.1</v>
      </c>
      <c r="C50" s="22">
        <v>2.4</v>
      </c>
      <c r="D50" s="22">
        <v>20.5</v>
      </c>
      <c r="E50" s="22">
        <v>-6.7</v>
      </c>
      <c r="F50" s="22">
        <v>31.3</v>
      </c>
    </row>
    <row r="51" spans="1:6" ht="17.5" customHeight="1">
      <c r="A51" s="22">
        <v>1852</v>
      </c>
      <c r="B51" s="22">
        <v>16.8</v>
      </c>
      <c r="C51" s="22">
        <v>2.2999999999999998</v>
      </c>
      <c r="D51" s="22">
        <v>19.100000000000001</v>
      </c>
      <c r="E51" s="22">
        <v>-5.5</v>
      </c>
      <c r="F51" s="22">
        <v>32.700000000000003</v>
      </c>
    </row>
    <row r="52" spans="1:6" ht="17.5" customHeight="1">
      <c r="A52" s="22">
        <v>1853</v>
      </c>
      <c r="B52" s="22">
        <v>18.100000000000001</v>
      </c>
      <c r="C52" s="22">
        <v>3</v>
      </c>
      <c r="D52" s="22">
        <v>21.8</v>
      </c>
      <c r="E52" s="22">
        <v>-5.7</v>
      </c>
      <c r="F52" s="22">
        <v>37.200000000000003</v>
      </c>
    </row>
    <row r="53" spans="1:6" ht="17.5" customHeight="1">
      <c r="A53" s="22">
        <v>1854</v>
      </c>
      <c r="B53" s="22">
        <v>18.899999999999999</v>
      </c>
      <c r="C53" s="22">
        <v>4.4000000000000004</v>
      </c>
      <c r="D53" s="22">
        <v>22.3</v>
      </c>
      <c r="E53" s="22">
        <v>-6.8</v>
      </c>
      <c r="F53" s="22">
        <v>38.799999999999997</v>
      </c>
    </row>
    <row r="54" spans="1:6" ht="17.5" customHeight="1">
      <c r="A54" s="22">
        <v>1855</v>
      </c>
      <c r="B54" s="22">
        <v>21.7</v>
      </c>
      <c r="C54" s="22">
        <v>7.8</v>
      </c>
      <c r="D54" s="22">
        <v>25.4</v>
      </c>
      <c r="E54" s="22">
        <v>-7.2</v>
      </c>
      <c r="F54" s="22">
        <v>47.7</v>
      </c>
    </row>
    <row r="55" spans="1:6" ht="17.5" customHeight="1">
      <c r="A55" s="22">
        <v>1856</v>
      </c>
      <c r="B55" s="22">
        <v>23.2</v>
      </c>
      <c r="C55" s="22">
        <v>7.2</v>
      </c>
      <c r="D55" s="22">
        <v>29.7</v>
      </c>
      <c r="E55" s="22">
        <v>-7.8</v>
      </c>
      <c r="F55" s="22">
        <v>52.3</v>
      </c>
    </row>
    <row r="56" spans="1:6" ht="17.5" customHeight="1">
      <c r="A56" s="22">
        <v>1857</v>
      </c>
      <c r="B56" s="22">
        <v>25.1</v>
      </c>
      <c r="C56" s="22">
        <v>8.8000000000000007</v>
      </c>
      <c r="D56" s="22">
        <v>30.7</v>
      </c>
      <c r="E56" s="22">
        <v>-8.3000000000000007</v>
      </c>
      <c r="F56" s="22">
        <v>56.3</v>
      </c>
    </row>
    <row r="57" spans="1:6" ht="17.5" customHeight="1">
      <c r="A57" s="22">
        <v>1858</v>
      </c>
      <c r="B57" s="22">
        <v>25.8</v>
      </c>
      <c r="C57" s="22">
        <v>10.7</v>
      </c>
      <c r="D57" s="22">
        <v>36.299999999999997</v>
      </c>
      <c r="E57" s="22">
        <v>-8.3000000000000007</v>
      </c>
      <c r="F57" s="22">
        <v>64.5</v>
      </c>
    </row>
    <row r="58" spans="1:6" ht="17.5" customHeight="1">
      <c r="A58" s="22">
        <v>1859</v>
      </c>
      <c r="B58" s="22">
        <v>26.3</v>
      </c>
      <c r="C58" s="22">
        <v>9.4</v>
      </c>
      <c r="D58" s="22">
        <v>33.299999999999997</v>
      </c>
      <c r="E58" s="22">
        <v>-8.6999999999999993</v>
      </c>
      <c r="F58" s="22">
        <v>60.3</v>
      </c>
    </row>
    <row r="59" spans="1:6" ht="17.5" customHeight="1">
      <c r="A59" s="22">
        <v>1860</v>
      </c>
      <c r="B59" s="22">
        <v>25.4</v>
      </c>
      <c r="C59" s="22">
        <v>5</v>
      </c>
      <c r="D59" s="22">
        <v>35</v>
      </c>
      <c r="E59" s="22">
        <v>-9.6</v>
      </c>
      <c r="F59" s="22">
        <v>55.8</v>
      </c>
    </row>
    <row r="60" spans="1:6" ht="13.75" customHeight="1">
      <c r="A60" s="6"/>
      <c r="B60" s="6"/>
      <c r="C60" s="6"/>
      <c r="D60" s="6"/>
      <c r="E60" s="6"/>
      <c r="F60" s="6"/>
    </row>
  </sheetData>
  <pageMargins left="0.75" right="0.75" top="1" bottom="1" header="0.5" footer="0.5"/>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3"/>
  <sheetViews>
    <sheetView showGridLines="0" workbookViewId="0"/>
  </sheetViews>
  <sheetFormatPr baseColWidth="10" defaultColWidth="9.1640625" defaultRowHeight="16" customHeight="1"/>
  <cols>
    <col min="1" max="1" width="7.83203125" style="4" customWidth="1"/>
    <col min="2" max="2" width="14.6640625" style="4" customWidth="1"/>
    <col min="3" max="3" width="14" style="4" customWidth="1"/>
    <col min="4" max="4" width="15" style="4" customWidth="1"/>
    <col min="5" max="6" width="9.1640625" style="4" customWidth="1"/>
    <col min="7" max="16384" width="9.1640625" style="4"/>
  </cols>
  <sheetData>
    <row r="1" spans="1:5" ht="17.5" customHeight="1">
      <c r="A1" s="8" t="s">
        <v>141</v>
      </c>
      <c r="B1" s="6"/>
      <c r="C1" s="6"/>
      <c r="D1" s="6"/>
      <c r="E1" s="6"/>
    </row>
    <row r="2" spans="1:5" ht="17.5" customHeight="1">
      <c r="A2" s="8" t="s">
        <v>142</v>
      </c>
      <c r="B2" s="6"/>
      <c r="C2" s="6"/>
      <c r="D2" s="6"/>
      <c r="E2" s="6"/>
    </row>
    <row r="3" spans="1:5" ht="17.5" customHeight="1">
      <c r="A3" s="8" t="s">
        <v>143</v>
      </c>
      <c r="B3" s="6"/>
      <c r="C3" s="6"/>
      <c r="D3" s="6"/>
      <c r="E3" s="6"/>
    </row>
    <row r="4" spans="1:5" ht="17.5" customHeight="1">
      <c r="A4" s="8" t="s">
        <v>133</v>
      </c>
      <c r="B4" s="6"/>
      <c r="C4" s="6"/>
      <c r="D4" s="6"/>
      <c r="E4" s="6"/>
    </row>
    <row r="5" spans="1:5" ht="17.5" customHeight="1">
      <c r="A5" s="8" t="s">
        <v>144</v>
      </c>
      <c r="B5" s="6"/>
      <c r="C5" s="6"/>
      <c r="D5" s="6"/>
      <c r="E5" s="6"/>
    </row>
    <row r="6" spans="1:5" ht="13.75" customHeight="1">
      <c r="A6" s="6"/>
      <c r="B6" s="6"/>
      <c r="C6" s="6"/>
      <c r="D6" s="6"/>
      <c r="E6" s="6"/>
    </row>
    <row r="7" spans="1:5" ht="51" customHeight="1">
      <c r="A7" s="35" t="s">
        <v>95</v>
      </c>
      <c r="B7" s="8" t="s">
        <v>135</v>
      </c>
      <c r="C7" s="21" t="s">
        <v>145</v>
      </c>
      <c r="D7" s="21" t="s">
        <v>146</v>
      </c>
      <c r="E7" s="6"/>
    </row>
    <row r="8" spans="1:5" ht="17.5" customHeight="1">
      <c r="A8" s="22">
        <v>1861</v>
      </c>
      <c r="B8" s="17">
        <v>27.2</v>
      </c>
      <c r="C8" s="17">
        <v>30.7</v>
      </c>
      <c r="D8" s="17">
        <f t="shared" ref="D8:D22" si="0">B8+C8</f>
        <v>57.9</v>
      </c>
      <c r="E8" s="6"/>
    </row>
    <row r="9" spans="1:5" ht="17.5" customHeight="1">
      <c r="A9" s="22">
        <v>1862</v>
      </c>
      <c r="B9" s="17">
        <v>133.4</v>
      </c>
      <c r="C9" s="17">
        <v>281.2</v>
      </c>
      <c r="D9" s="17">
        <f t="shared" si="0"/>
        <v>414.6</v>
      </c>
      <c r="E9" s="6"/>
    </row>
    <row r="10" spans="1:5" ht="17.5" customHeight="1">
      <c r="A10" s="22">
        <v>1863</v>
      </c>
      <c r="B10" s="17">
        <v>244.9</v>
      </c>
      <c r="C10" s="17">
        <v>400.3</v>
      </c>
      <c r="D10" s="17">
        <f t="shared" si="0"/>
        <v>645.20000000000005</v>
      </c>
      <c r="E10" s="6"/>
    </row>
    <row r="11" spans="1:5" ht="17.5" customHeight="1">
      <c r="A11" s="22">
        <v>1864</v>
      </c>
      <c r="B11" s="17">
        <v>313.39999999999998</v>
      </c>
      <c r="C11" s="17">
        <v>463.7</v>
      </c>
      <c r="D11" s="17">
        <f t="shared" si="0"/>
        <v>777.09999999999991</v>
      </c>
      <c r="E11" s="6"/>
    </row>
    <row r="12" spans="1:5" ht="17.5" customHeight="1">
      <c r="A12" s="22">
        <v>1865</v>
      </c>
      <c r="B12" s="17">
        <v>422.2</v>
      </c>
      <c r="C12" s="17">
        <v>735.2</v>
      </c>
      <c r="D12" s="17">
        <f t="shared" si="0"/>
        <v>1157.4000000000001</v>
      </c>
      <c r="E12" s="6"/>
    </row>
    <row r="13" spans="1:5" ht="17.5" customHeight="1">
      <c r="A13" s="22">
        <v>1866</v>
      </c>
      <c r="B13" s="17">
        <v>153.19999999999999</v>
      </c>
      <c r="C13" s="17">
        <v>257.5</v>
      </c>
      <c r="D13" s="17">
        <f t="shared" si="0"/>
        <v>410.7</v>
      </c>
      <c r="E13" s="6"/>
    </row>
    <row r="14" spans="1:5" ht="17.5" customHeight="1">
      <c r="A14" s="22">
        <v>1867</v>
      </c>
      <c r="B14" s="17">
        <v>76.7</v>
      </c>
      <c r="C14" s="17">
        <v>86.5</v>
      </c>
      <c r="D14" s="17">
        <f t="shared" si="0"/>
        <v>163.19999999999999</v>
      </c>
      <c r="E14" s="6"/>
    </row>
    <row r="15" spans="1:5" ht="17.5" customHeight="1">
      <c r="A15" s="22">
        <v>1868</v>
      </c>
      <c r="B15" s="17">
        <v>75.8</v>
      </c>
      <c r="C15" s="17">
        <v>71.599999999999994</v>
      </c>
      <c r="D15" s="17">
        <f t="shared" si="0"/>
        <v>147.39999999999998</v>
      </c>
      <c r="E15" s="6"/>
    </row>
    <row r="16" spans="1:5" ht="17.5" customHeight="1">
      <c r="A16" s="22">
        <v>1869</v>
      </c>
      <c r="B16" s="17">
        <v>68.3</v>
      </c>
      <c r="C16" s="17">
        <v>60.5</v>
      </c>
      <c r="D16" s="17">
        <f t="shared" si="0"/>
        <v>128.80000000000001</v>
      </c>
      <c r="E16" s="6"/>
    </row>
    <row r="17" spans="1:5" ht="17.5" customHeight="1">
      <c r="A17" s="22">
        <v>1870</v>
      </c>
      <c r="B17" s="17">
        <v>70.3</v>
      </c>
      <c r="C17" s="17">
        <v>55.7</v>
      </c>
      <c r="D17" s="17">
        <f t="shared" si="0"/>
        <v>126</v>
      </c>
      <c r="E17" s="6"/>
    </row>
    <row r="18" spans="1:5" ht="17.5" customHeight="1">
      <c r="A18" s="22">
        <v>1871</v>
      </c>
      <c r="B18" s="17">
        <v>69.2</v>
      </c>
      <c r="C18" s="17">
        <v>39.799999999999997</v>
      </c>
      <c r="D18" s="17">
        <f t="shared" si="0"/>
        <v>109</v>
      </c>
      <c r="E18" s="6"/>
    </row>
    <row r="19" spans="1:5" ht="17.5" customHeight="1">
      <c r="A19" s="22">
        <v>1872</v>
      </c>
      <c r="B19" s="17">
        <v>69.2</v>
      </c>
      <c r="C19" s="17">
        <v>47</v>
      </c>
      <c r="D19" s="17">
        <f t="shared" si="0"/>
        <v>116.2</v>
      </c>
      <c r="E19" s="6"/>
    </row>
    <row r="20" spans="1:5" ht="17.5" customHeight="1">
      <c r="A20" s="22">
        <v>1873</v>
      </c>
      <c r="B20" s="17">
        <v>70.2</v>
      </c>
      <c r="C20" s="17">
        <v>63.2</v>
      </c>
      <c r="D20" s="17">
        <f t="shared" si="0"/>
        <v>133.4</v>
      </c>
      <c r="E20" s="6"/>
    </row>
    <row r="21" spans="1:5" ht="17.5" customHeight="1">
      <c r="A21" s="22">
        <v>1874</v>
      </c>
      <c r="B21" s="17">
        <v>71.3</v>
      </c>
      <c r="C21" s="17">
        <v>68.8</v>
      </c>
      <c r="D21" s="17">
        <f t="shared" si="0"/>
        <v>140.1</v>
      </c>
      <c r="E21" s="6"/>
    </row>
    <row r="22" spans="1:5" ht="17.5" customHeight="1">
      <c r="A22" s="22">
        <v>1875</v>
      </c>
      <c r="B22" s="22">
        <v>72</v>
      </c>
      <c r="C22" s="22">
        <v>66.7</v>
      </c>
      <c r="D22" s="17">
        <f t="shared" si="0"/>
        <v>138.69999999999999</v>
      </c>
      <c r="E22" s="6"/>
    </row>
    <row r="23" spans="1:5" ht="13.75" customHeight="1">
      <c r="A23" s="6"/>
      <c r="B23" s="6"/>
      <c r="C23" s="6"/>
      <c r="D23" s="6"/>
      <c r="E23" s="6"/>
    </row>
  </sheetData>
  <pageMargins left="0.75" right="0.75" top="1" bottom="1" header="0.5" footer="0.5"/>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40</vt:i4>
      </vt:variant>
    </vt:vector>
  </HeadingPairs>
  <TitlesOfParts>
    <vt:vector size="40" baseType="lpstr">
      <vt:lpstr>Export Summary</vt:lpstr>
      <vt:lpstr>Guide to Source (S) sheets</vt:lpstr>
      <vt:lpstr>S1 - BEA estimates 1929-2022</vt:lpstr>
      <vt:lpstr>S2 - David-Solar raw data</vt:lpstr>
      <vt:lpstr>S3 - Davis 2004 IIP</vt:lpstr>
      <vt:lpstr>S4 - Mancall and Weiss raw data</vt:lpstr>
      <vt:lpstr>S5 - McCusker Table 2</vt:lpstr>
      <vt:lpstr>S6-Trescott 1960</vt:lpstr>
      <vt:lpstr>S7-Trescott 1966</vt:lpstr>
      <vt:lpstr>S8-NFI 1820-1860</vt:lpstr>
      <vt:lpstr>S9 -  NFI 1869-1899</vt:lpstr>
      <vt:lpstr>S10 - NFI 1900-1909</vt:lpstr>
      <vt:lpstr>S11a -Population 1790 to 1900</vt:lpstr>
      <vt:lpstr>S11b Population 1900 to 2022</vt:lpstr>
      <vt:lpstr>S12 - Weiss 1993 Table A2</vt:lpstr>
      <vt:lpstr>S13 -Weiss 1993 Table A3</vt:lpstr>
      <vt:lpstr>S14-Gallman (1966) Table A-1</vt:lpstr>
      <vt:lpstr>S15-Gallman (2000) Table 1.3</vt:lpstr>
      <vt:lpstr>S16-Gallman (1966) Table A-2</vt:lpstr>
      <vt:lpstr>S17-Weiss 1975 Table 53</vt:lpstr>
      <vt:lpstr>S18-Gallman-Weiss Tables</vt:lpstr>
      <vt:lpstr>S19-Rhode Table 1 &amp; 2</vt:lpstr>
      <vt:lpstr>S20-Rhode Table 3</vt:lpstr>
      <vt:lpstr>S21-Olney durables</vt:lpstr>
      <vt:lpstr>S22-Gallman agriculture</vt:lpstr>
      <vt:lpstr>S-23 Kendrick GNP-GDP</vt:lpstr>
      <vt:lpstr>S24-Kendrick government</vt:lpstr>
      <vt:lpstr>S25-Weiss 1975 table 72</vt:lpstr>
      <vt:lpstr>Guide to computation (E) sheets</vt:lpstr>
      <vt:lpstr>E1-Weiss replication</vt:lpstr>
      <vt:lpstr>E2-Benchmarks, 1793-1829</vt:lpstr>
      <vt:lpstr>E3-Benchmarks, 1839-1859</vt:lpstr>
      <vt:lpstr>E4-Benchmarks, 1869-1909</vt:lpstr>
      <vt:lpstr>E5 - GDP deflator 1790-1909</vt:lpstr>
      <vt:lpstr>E6 - Ag share of GDP 1793-1859</vt:lpstr>
      <vt:lpstr>E7 -Real GDP 1790-1799</vt:lpstr>
      <vt:lpstr>E8 -Real GDP 1799-1869</vt:lpstr>
      <vt:lpstr>E9 -Real GDP 1869-1909</vt:lpstr>
      <vt:lpstr>E10 - GDP, 1790-1909</vt:lpstr>
      <vt:lpstr>E11 - GDP 1790-2022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Sm Williamson</cp:lastModifiedBy>
  <dcterms:created xsi:type="dcterms:W3CDTF">2023-10-03T12:51:46Z</dcterms:created>
  <dcterms:modified xsi:type="dcterms:W3CDTF">2023-11-07T00:28:44Z</dcterms:modified>
</cp:coreProperties>
</file>